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hidePivotFieldList="1" defaultThemeVersion="124226"/>
  <workbookProtection workbookAlgorithmName="SHA-512" workbookHashValue="CVA6O6z+CDgA107yaI4va/IqAZ/GBq8naXxDElKiiDWnn11z0liTfi9nRJ8AXjhAnINZsUO1FJLR0LvA+IISJw==" workbookSaltValue="pE/QHOAfC15YK+Oh1/A4yQ==" workbookSpinCount="100000" lockStructure="1"/>
  <bookViews>
    <workbookView xWindow="0" yWindow="0" windowWidth="14370" windowHeight="8145"/>
  </bookViews>
  <sheets>
    <sheet name="Irsid" sheetId="4" r:id="rId1"/>
    <sheet name="Feuil1" sheetId="5" r:id="rId2"/>
  </sheets>
  <calcPr calcId="152511"/>
</workbook>
</file>

<file path=xl/calcChain.xml><?xml version="1.0" encoding="utf-8"?>
<calcChain xmlns="http://schemas.openxmlformats.org/spreadsheetml/2006/main">
  <c r="D4" i="4" l="1"/>
  <c r="AE13" i="4"/>
  <c r="C8" i="4"/>
  <c r="D3" i="4" l="1"/>
  <c r="G3" i="4" s="1"/>
  <c r="AM28" i="4" l="1"/>
  <c r="AM21" i="4"/>
  <c r="AN21" i="4" s="1"/>
  <c r="AG23" i="4"/>
  <c r="AG25" i="4"/>
  <c r="AG26" i="4"/>
  <c r="AG28" i="4"/>
  <c r="AG29" i="4"/>
  <c r="AG22" i="4"/>
  <c r="AE33" i="4"/>
  <c r="AE26" i="4"/>
  <c r="AE28" i="4"/>
  <c r="AE30" i="4"/>
  <c r="AE22" i="4"/>
  <c r="AD30" i="4"/>
  <c r="AD29" i="4"/>
  <c r="AD28" i="4"/>
  <c r="AD26" i="4"/>
  <c r="AD25" i="4"/>
  <c r="AD23" i="4"/>
  <c r="AD22" i="4"/>
  <c r="AC29" i="4"/>
  <c r="AE29" i="4" s="1"/>
  <c r="AC27" i="4"/>
  <c r="AE27" i="4" s="1"/>
  <c r="AC24" i="4"/>
  <c r="AC25" i="4" s="1"/>
  <c r="AE25" i="4" s="1"/>
  <c r="Z24" i="4"/>
  <c r="Z23" i="4" s="1"/>
  <c r="Z29" i="4"/>
  <c r="Z27" i="4"/>
  <c r="AA27" i="4" s="1"/>
  <c r="AA23" i="4"/>
  <c r="AA24" i="4"/>
  <c r="AA25" i="4"/>
  <c r="AA26" i="4"/>
  <c r="AA28" i="4"/>
  <c r="AA29" i="4"/>
  <c r="AA30" i="4"/>
  <c r="AA22" i="4"/>
  <c r="X23" i="4"/>
  <c r="X25" i="4"/>
  <c r="X26" i="4"/>
  <c r="X29" i="4"/>
  <c r="X30" i="4"/>
  <c r="X31" i="4"/>
  <c r="X32" i="4"/>
  <c r="X22" i="4"/>
  <c r="W23" i="4"/>
  <c r="W24" i="4"/>
  <c r="W25" i="4"/>
  <c r="W26" i="4"/>
  <c r="W27" i="4"/>
  <c r="W28" i="4"/>
  <c r="W29" i="4"/>
  <c r="W30" i="4"/>
  <c r="W31" i="4"/>
  <c r="W32" i="4"/>
  <c r="V32" i="4" s="1"/>
  <c r="W22" i="4"/>
  <c r="AD27" i="4" l="1"/>
  <c r="AE24" i="4"/>
  <c r="V31" i="4"/>
  <c r="AB33" i="4"/>
  <c r="AC33" i="4" s="1"/>
  <c r="AD33" i="4" s="1"/>
  <c r="V23" i="4"/>
  <c r="V22" i="4"/>
  <c r="V30" i="4"/>
  <c r="AD24" i="4"/>
  <c r="AD31" i="4" s="1"/>
  <c r="AI29" i="4" s="1"/>
  <c r="AM29" i="4" s="1"/>
  <c r="V27" i="4"/>
  <c r="X27" i="4" s="1"/>
  <c r="V26" i="4"/>
  <c r="AC23" i="4"/>
  <c r="AE23" i="4" s="1"/>
  <c r="Z25" i="4"/>
  <c r="AA31" i="4"/>
  <c r="AH31" i="4" s="1"/>
  <c r="AL31" i="4" s="1"/>
  <c r="V29" i="4"/>
  <c r="V24" i="4"/>
  <c r="X24" i="4" s="1"/>
  <c r="V25" i="4"/>
  <c r="V28" i="4"/>
  <c r="X28" i="4" s="1"/>
  <c r="X33" i="4" l="1"/>
  <c r="AF33" i="4"/>
  <c r="AG33" i="4"/>
  <c r="AF23" i="4" s="1"/>
  <c r="AF28" i="4" l="1"/>
  <c r="AF30" i="4"/>
  <c r="AG30" i="4" s="1"/>
  <c r="AF22" i="4"/>
  <c r="AF26" i="4"/>
  <c r="AF29" i="4"/>
  <c r="AF27" i="4"/>
  <c r="AG27" i="4" s="1"/>
  <c r="AF25" i="4"/>
  <c r="AF24" i="4"/>
  <c r="AG24" i="4" s="1"/>
  <c r="AI31" i="4"/>
  <c r="AE16" i="4"/>
  <c r="AE2" i="4"/>
  <c r="AD2" i="4"/>
  <c r="AB2" i="4"/>
  <c r="AI2" i="4"/>
  <c r="AI3" i="4"/>
  <c r="AI4" i="4"/>
  <c r="AI5" i="4"/>
  <c r="AI6" i="4"/>
  <c r="AI7" i="4"/>
  <c r="AI8" i="4"/>
  <c r="AI9" i="4"/>
  <c r="AI10" i="4"/>
  <c r="AI11" i="4"/>
  <c r="AI12" i="4"/>
  <c r="AI13" i="4"/>
  <c r="AB16" i="4"/>
  <c r="AB15" i="4"/>
  <c r="AB14" i="4"/>
  <c r="AB12" i="4"/>
  <c r="AB11" i="4"/>
  <c r="AB10" i="4"/>
  <c r="AB9" i="4"/>
  <c r="AB4" i="4"/>
  <c r="AB5" i="4"/>
  <c r="AB6" i="4"/>
  <c r="AB7" i="4"/>
  <c r="AB8" i="4"/>
  <c r="AB3" i="4"/>
  <c r="AB13" i="4"/>
  <c r="AB17" i="4"/>
  <c r="AG31" i="4" l="1"/>
  <c r="AI30" i="4"/>
  <c r="AM30" i="4" s="1"/>
  <c r="AM31" i="4"/>
  <c r="AK31" i="4"/>
  <c r="AC10" i="4"/>
  <c r="AD13" i="4"/>
  <c r="AD12" i="4"/>
  <c r="AD11" i="4"/>
  <c r="AD10" i="4"/>
  <c r="AC2" i="4"/>
  <c r="AE11" i="4"/>
  <c r="AE4" i="4"/>
  <c r="AF8" i="4"/>
  <c r="AF7" i="4"/>
  <c r="AF6" i="4"/>
  <c r="AF5" i="4"/>
  <c r="AC6" i="4"/>
  <c r="AF13" i="4"/>
  <c r="AD14" i="4"/>
  <c r="AF2" i="4"/>
  <c r="AD9" i="4"/>
  <c r="AF3" i="4"/>
  <c r="AC3" i="4"/>
  <c r="AE17" i="4"/>
  <c r="AF14" i="4"/>
  <c r="AC11" i="4"/>
  <c r="AE15" i="4"/>
  <c r="AF15" i="4"/>
  <c r="AC9" i="4"/>
  <c r="AE14" i="4"/>
  <c r="AF16" i="4"/>
  <c r="AC8" i="4"/>
  <c r="AF17" i="4"/>
  <c r="AC7" i="4"/>
  <c r="AE12" i="4"/>
  <c r="AC17" i="4"/>
  <c r="AC5" i="4"/>
  <c r="AD8" i="4"/>
  <c r="AE10" i="4"/>
  <c r="AF4" i="4"/>
  <c r="AC16" i="4"/>
  <c r="AC4" i="4"/>
  <c r="AD7" i="4"/>
  <c r="AE9" i="4"/>
  <c r="AF9" i="4"/>
  <c r="AC15" i="4"/>
  <c r="AD3" i="4"/>
  <c r="AD6" i="4"/>
  <c r="AE8" i="4"/>
  <c r="AF10" i="4"/>
  <c r="AC14" i="4"/>
  <c r="AD17" i="4"/>
  <c r="AD5" i="4"/>
  <c r="AE7" i="4"/>
  <c r="AF11" i="4"/>
  <c r="AC13" i="4"/>
  <c r="AD16" i="4"/>
  <c r="AD4" i="4"/>
  <c r="AE6" i="4"/>
  <c r="AF12" i="4"/>
  <c r="AC12" i="4"/>
  <c r="AD15" i="4"/>
  <c r="AE3" i="4"/>
  <c r="AE5" i="4"/>
  <c r="AD18" i="4" l="1"/>
  <c r="AC18" i="4"/>
  <c r="AB18" i="4"/>
  <c r="AA18" i="4"/>
  <c r="V10" i="4"/>
  <c r="AP2" i="4"/>
  <c r="AP3" i="4" s="1"/>
  <c r="AP20" i="4"/>
  <c r="AP21" i="4" s="1"/>
  <c r="W9" i="4" s="1"/>
  <c r="AP5" i="4"/>
  <c r="AP6" i="4" s="1"/>
  <c r="AP23" i="4"/>
  <c r="AP8" i="4"/>
  <c r="AP9" i="4" s="1"/>
  <c r="AP26" i="4"/>
  <c r="AP11" i="4"/>
  <c r="AP12" i="4" s="1"/>
  <c r="AP14" i="4"/>
  <c r="AP15" i="4" s="1"/>
  <c r="AP17" i="4"/>
  <c r="V9" i="4" l="1"/>
  <c r="AP27" i="4"/>
  <c r="W11" i="4" s="1"/>
  <c r="V11" i="4"/>
  <c r="AE18" i="4"/>
  <c r="AK32" i="4"/>
  <c r="AP24" i="4"/>
  <c r="W10" i="4"/>
  <c r="V2" i="4"/>
  <c r="V3" i="4"/>
  <c r="V4" i="4"/>
  <c r="V6" i="4"/>
  <c r="V7" i="4"/>
  <c r="W3" i="4"/>
  <c r="W4" i="4"/>
  <c r="W6" i="4"/>
  <c r="W7" i="4"/>
  <c r="V12" i="4" l="1"/>
  <c r="W12" i="4"/>
  <c r="AF18" i="4"/>
  <c r="AJ28" i="4" s="1"/>
  <c r="AJ29" i="4" s="1"/>
  <c r="V5" i="4"/>
  <c r="V8" i="4" s="1"/>
  <c r="W5" i="4"/>
  <c r="W2" i="4"/>
  <c r="W8" i="4" l="1"/>
  <c r="AK29" i="4" s="1"/>
  <c r="AK30" i="4" l="1"/>
  <c r="AJ30" i="4" s="1"/>
  <c r="AH28" i="4" s="1"/>
  <c r="AH29" i="4" l="1"/>
  <c r="AH30" i="4" s="1"/>
  <c r="AL30" i="4" s="1"/>
  <c r="AL28" i="4"/>
  <c r="AJ31" i="4"/>
  <c r="AL29" i="4" l="1"/>
</calcChain>
</file>

<file path=xl/sharedStrings.xml><?xml version="1.0" encoding="utf-8"?>
<sst xmlns="http://schemas.openxmlformats.org/spreadsheetml/2006/main" count="97" uniqueCount="61">
  <si>
    <t>Cr</t>
  </si>
  <si>
    <t>Mo</t>
  </si>
  <si>
    <t>Si</t>
  </si>
  <si>
    <t>Ni</t>
  </si>
  <si>
    <t>C</t>
  </si>
  <si>
    <t>Mn</t>
  </si>
  <si>
    <t>V</t>
  </si>
  <si>
    <t>Cu</t>
  </si>
  <si>
    <t>x</t>
  </si>
  <si>
    <t>y</t>
  </si>
  <si>
    <t>m</t>
  </si>
  <si>
    <t>b</t>
  </si>
  <si>
    <t>X</t>
  </si>
  <si>
    <t>Y</t>
  </si>
  <si>
    <t>E graph</t>
  </si>
  <si>
    <t>TIG</t>
  </si>
  <si>
    <t>MIG-MAG</t>
  </si>
  <si>
    <t>EE</t>
  </si>
  <si>
    <t>MIG</t>
  </si>
  <si>
    <t>Ep</t>
  </si>
  <si>
    <t xml:space="preserve"> m</t>
  </si>
  <si>
    <t xml:space="preserve"> b</t>
  </si>
  <si>
    <t>Coordoné des points</t>
  </si>
  <si>
    <t>EE-sous flux</t>
  </si>
  <si>
    <t>Joint :</t>
  </si>
  <si>
    <t>U :</t>
  </si>
  <si>
    <t>I :</t>
  </si>
  <si>
    <t>Vitesse :</t>
  </si>
  <si>
    <t>E nominal :</t>
  </si>
  <si>
    <t>Temps de refroidissement :</t>
  </si>
  <si>
    <t>Préchauffage</t>
  </si>
  <si>
    <t>Echelle pour E</t>
  </si>
  <si>
    <t>Joint</t>
  </si>
  <si>
    <t>Procédé</t>
  </si>
  <si>
    <t>E eq</t>
  </si>
  <si>
    <t>10X</t>
  </si>
  <si>
    <t>6Y</t>
  </si>
  <si>
    <t>Ecart</t>
  </si>
  <si>
    <t>Température</t>
  </si>
  <si>
    <t>Vertical</t>
  </si>
  <si>
    <t>co</t>
  </si>
  <si>
    <t>ca</t>
  </si>
  <si>
    <t>pi</t>
  </si>
  <si>
    <t>co/ca</t>
  </si>
  <si>
    <t>angle r</t>
  </si>
  <si>
    <t>angle °</t>
  </si>
  <si>
    <t>tan</t>
  </si>
  <si>
    <t>Horizontal</t>
  </si>
  <si>
    <t>Sans préchauffage</t>
  </si>
  <si>
    <t>Avec préchauffage</t>
  </si>
  <si>
    <t>Procédé :</t>
  </si>
  <si>
    <t>Nuance :</t>
  </si>
  <si>
    <t xml:space="preserve">Auteur : </t>
  </si>
  <si>
    <t>Loic LABOURÉ</t>
  </si>
  <si>
    <t>loic.laboure@lamache.org</t>
  </si>
  <si>
    <t xml:space="preserve">Contact : </t>
  </si>
  <si>
    <t>Ep. :</t>
  </si>
  <si>
    <t>Valeurs à rentrées</t>
  </si>
  <si>
    <t>Choix par listes déroulantes</t>
  </si>
  <si>
    <t>Carbone équivalent :</t>
  </si>
  <si>
    <t xml:space="preserve">Carbone équivalent compensé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</si>
</sst>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&quot; mm&quot;"/>
    <numFmt numFmtId="165" formatCode="00.00&quot; Kj/cm&quot;"/>
    <numFmt numFmtId="166" formatCode="000.00&quot; V&quot;"/>
    <numFmt numFmtId="167" formatCode="000.00&quot; A&quot;"/>
    <numFmt numFmtId="168" formatCode="00.00&quot; cm/min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2">
    <xf numFmtId="0" fontId="0" fillId="0" borderId="0" xfId="0"/>
    <xf numFmtId="0" fontId="1" fillId="0" borderId="6" xfId="0" applyFont="1" applyBorder="1" applyAlignment="1" applyProtection="1">
      <alignment horizontal="center"/>
      <protection hidden="1"/>
    </xf>
    <xf numFmtId="0" fontId="1" fillId="0" borderId="26" xfId="0" applyFont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35" xfId="0" applyFont="1" applyFill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0" fillId="0" borderId="34" xfId="0" applyFont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1" fillId="0" borderId="30" xfId="0" applyFont="1" applyBorder="1" applyAlignment="1" applyProtection="1">
      <alignment horizontal="center"/>
      <protection hidden="1"/>
    </xf>
    <xf numFmtId="0" fontId="0" fillId="0" borderId="33" xfId="0" applyFont="1" applyBorder="1" applyAlignment="1" applyProtection="1">
      <alignment horizontal="center"/>
      <protection hidden="1"/>
    </xf>
    <xf numFmtId="0" fontId="1" fillId="0" borderId="36" xfId="0" applyFont="1" applyBorder="1" applyAlignment="1" applyProtection="1">
      <alignment horizontal="center"/>
      <protection hidden="1"/>
    </xf>
    <xf numFmtId="2" fontId="1" fillId="0" borderId="27" xfId="0" applyNumberFormat="1" applyFont="1" applyBorder="1" applyAlignment="1" applyProtection="1">
      <alignment horizontal="center"/>
      <protection hidden="1"/>
    </xf>
    <xf numFmtId="0" fontId="0" fillId="2" borderId="24" xfId="0" applyFont="1" applyFill="1" applyBorder="1" applyAlignment="1" applyProtection="1">
      <alignment horizontal="center"/>
      <protection hidden="1"/>
    </xf>
    <xf numFmtId="0" fontId="0" fillId="2" borderId="19" xfId="0" applyFont="1" applyFill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0" fontId="0" fillId="0" borderId="15" xfId="0" applyFont="1" applyBorder="1" applyAlignment="1" applyProtection="1">
      <alignment horizontal="center"/>
      <protection hidden="1"/>
    </xf>
    <xf numFmtId="0" fontId="0" fillId="2" borderId="29" xfId="0" applyFont="1" applyFill="1" applyBorder="1" applyAlignment="1" applyProtection="1">
      <alignment horizontal="center"/>
      <protection hidden="1"/>
    </xf>
    <xf numFmtId="0" fontId="1" fillId="0" borderId="18" xfId="0" applyFont="1" applyBorder="1" applyAlignment="1" applyProtection="1">
      <alignment horizontal="center"/>
      <protection hidden="1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7" xfId="0" applyFont="1" applyBorder="1" applyAlignment="1" applyProtection="1">
      <alignment horizontal="center"/>
      <protection hidden="1"/>
    </xf>
    <xf numFmtId="0" fontId="0" fillId="0" borderId="23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  <xf numFmtId="0" fontId="1" fillId="0" borderId="27" xfId="0" applyFont="1" applyBorder="1" applyAlignment="1" applyProtection="1">
      <alignment horizontal="center"/>
      <protection hidden="1"/>
    </xf>
    <xf numFmtId="0" fontId="0" fillId="0" borderId="18" xfId="0" applyFont="1" applyBorder="1" applyAlignment="1" applyProtection="1">
      <alignment horizontal="center"/>
      <protection hidden="1"/>
    </xf>
    <xf numFmtId="0" fontId="0" fillId="0" borderId="19" xfId="0" applyFont="1" applyBorder="1" applyAlignment="1" applyProtection="1">
      <alignment horizontal="center"/>
      <protection hidden="1"/>
    </xf>
    <xf numFmtId="0" fontId="0" fillId="0" borderId="24" xfId="0" applyFont="1" applyBorder="1" applyAlignment="1" applyProtection="1">
      <alignment horizontal="center"/>
      <protection hidden="1"/>
    </xf>
    <xf numFmtId="0" fontId="1" fillId="0" borderId="31" xfId="0" applyFont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0" borderId="6" xfId="0" applyFont="1" applyBorder="1" applyAlignment="1" applyProtection="1">
      <alignment horizontal="center"/>
      <protection hidden="1"/>
    </xf>
    <xf numFmtId="0" fontId="0" fillId="0" borderId="36" xfId="0" applyFont="1" applyFill="1" applyBorder="1" applyAlignment="1" applyProtection="1">
      <alignment horizontal="center"/>
      <protection hidden="1"/>
    </xf>
    <xf numFmtId="0" fontId="0" fillId="0" borderId="20" xfId="0" applyFont="1" applyBorder="1" applyAlignment="1" applyProtection="1">
      <alignment horizontal="center"/>
      <protection hidden="1"/>
    </xf>
    <xf numFmtId="0" fontId="0" fillId="0" borderId="22" xfId="0" applyFont="1" applyBorder="1" applyAlignment="1" applyProtection="1">
      <alignment horizontal="center"/>
      <protection hidden="1"/>
    </xf>
    <xf numFmtId="0" fontId="0" fillId="0" borderId="25" xfId="0" applyFont="1" applyBorder="1" applyAlignment="1" applyProtection="1">
      <alignment horizontal="center"/>
      <protection hidden="1"/>
    </xf>
    <xf numFmtId="0" fontId="0" fillId="0" borderId="13" xfId="0" applyFont="1" applyBorder="1" applyAlignment="1" applyProtection="1">
      <alignment horizontal="center"/>
      <protection hidden="1"/>
    </xf>
    <xf numFmtId="0" fontId="1" fillId="0" borderId="28" xfId="0" applyFont="1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0" fillId="0" borderId="21" xfId="0" applyFont="1" applyBorder="1" applyAlignment="1" applyProtection="1">
      <alignment horizontal="center"/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32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0" fillId="0" borderId="30" xfId="0" applyBorder="1" applyProtection="1">
      <protection hidden="1"/>
    </xf>
    <xf numFmtId="0" fontId="0" fillId="0" borderId="18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2" xfId="0" applyBorder="1" applyProtection="1"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0" xfId="0"/>
    <xf numFmtId="0" fontId="0" fillId="2" borderId="1" xfId="0" applyFont="1" applyFill="1" applyBorder="1" applyAlignment="1" applyProtection="1">
      <alignment horizontal="center"/>
      <protection hidden="1"/>
    </xf>
    <xf numFmtId="0" fontId="0" fillId="0" borderId="11" xfId="0" applyFont="1" applyFill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  <protection hidden="1"/>
    </xf>
    <xf numFmtId="0" fontId="0" fillId="0" borderId="3" xfId="0" applyFont="1" applyBorder="1" applyAlignment="1" applyProtection="1">
      <alignment horizontal="center"/>
      <protection hidden="1"/>
    </xf>
    <xf numFmtId="0" fontId="0" fillId="0" borderId="29" xfId="0" applyFont="1" applyBorder="1" applyAlignment="1" applyProtection="1">
      <alignment horizontal="center"/>
      <protection hidden="1"/>
    </xf>
    <xf numFmtId="0" fontId="0" fillId="2" borderId="15" xfId="0" applyFont="1" applyFill="1" applyBorder="1" applyAlignment="1" applyProtection="1">
      <alignment horizontal="center"/>
      <protection hidden="1"/>
    </xf>
    <xf numFmtId="0" fontId="0" fillId="2" borderId="39" xfId="0" applyFont="1" applyFill="1" applyBorder="1" applyAlignment="1" applyProtection="1">
      <alignment horizontal="center"/>
      <protection hidden="1"/>
    </xf>
    <xf numFmtId="0" fontId="0" fillId="2" borderId="17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1" fillId="0" borderId="40" xfId="0" applyFont="1" applyBorder="1" applyAlignment="1" applyProtection="1">
      <alignment horizontal="center"/>
      <protection hidden="1"/>
    </xf>
    <xf numFmtId="0" fontId="0" fillId="0" borderId="26" xfId="0" applyFont="1" applyBorder="1" applyAlignment="1" applyProtection="1">
      <alignment horizontal="center"/>
      <protection hidden="1"/>
    </xf>
    <xf numFmtId="0" fontId="1" fillId="0" borderId="32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45" xfId="0" applyFont="1" applyBorder="1" applyAlignment="1" applyProtection="1">
      <alignment horizontal="center" vertical="center"/>
      <protection hidden="1"/>
    </xf>
    <xf numFmtId="0" fontId="1" fillId="0" borderId="46" xfId="0" applyFont="1" applyBorder="1" applyAlignment="1" applyProtection="1">
      <alignment horizontal="center" vertical="center"/>
      <protection hidden="1"/>
    </xf>
    <xf numFmtId="0" fontId="1" fillId="2" borderId="42" xfId="0" applyFont="1" applyFill="1" applyBorder="1" applyAlignment="1" applyProtection="1">
      <alignment horizontal="center"/>
      <protection hidden="1"/>
    </xf>
    <xf numFmtId="0" fontId="1" fillId="0" borderId="15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39" xfId="0" applyFont="1" applyBorder="1" applyAlignment="1" applyProtection="1">
      <alignment horizontal="center"/>
      <protection hidden="1"/>
    </xf>
    <xf numFmtId="0" fontId="0" fillId="0" borderId="39" xfId="0" applyFont="1" applyBorder="1" applyAlignment="1" applyProtection="1">
      <alignment horizontal="center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0" fillId="0" borderId="3" xfId="0" applyBorder="1" applyProtection="1">
      <protection hidden="1"/>
    </xf>
    <xf numFmtId="0" fontId="0" fillId="0" borderId="29" xfId="0" applyBorder="1" applyProtection="1">
      <protection hidden="1"/>
    </xf>
    <xf numFmtId="0" fontId="0" fillId="0" borderId="17" xfId="0" applyBorder="1" applyProtection="1">
      <protection hidden="1"/>
    </xf>
    <xf numFmtId="0" fontId="1" fillId="0" borderId="16" xfId="0" applyFont="1" applyBorder="1" applyProtection="1">
      <protection hidden="1"/>
    </xf>
    <xf numFmtId="0" fontId="1" fillId="0" borderId="39" xfId="0" applyFont="1" applyBorder="1" applyProtection="1">
      <protection hidden="1"/>
    </xf>
    <xf numFmtId="0" fontId="0" fillId="0" borderId="15" xfId="0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15" xfId="0" applyFont="1" applyBorder="1" applyProtection="1">
      <protection hidden="1"/>
    </xf>
    <xf numFmtId="0" fontId="0" fillId="2" borderId="21" xfId="0" applyFill="1" applyBorder="1" applyProtection="1">
      <protection hidden="1"/>
    </xf>
    <xf numFmtId="0" fontId="0" fillId="2" borderId="22" xfId="0" applyFill="1" applyBorder="1" applyProtection="1">
      <protection hidden="1"/>
    </xf>
    <xf numFmtId="0" fontId="0" fillId="0" borderId="32" xfId="0" applyBorder="1" applyProtection="1">
      <protection hidden="1"/>
    </xf>
    <xf numFmtId="0" fontId="1" fillId="0" borderId="9" xfId="0" applyFont="1" applyBorder="1" applyProtection="1">
      <protection hidden="1"/>
    </xf>
    <xf numFmtId="0" fontId="1" fillId="0" borderId="10" xfId="0" applyFont="1" applyBorder="1" applyProtection="1">
      <protection hidden="1"/>
    </xf>
    <xf numFmtId="0" fontId="1" fillId="0" borderId="26" xfId="0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5" xfId="0" applyBorder="1" applyProtection="1">
      <protection hidden="1"/>
    </xf>
    <xf numFmtId="0" fontId="0" fillId="0" borderId="39" xfId="0" applyBorder="1" applyProtection="1">
      <protection hidden="1"/>
    </xf>
    <xf numFmtId="0" fontId="0" fillId="2" borderId="43" xfId="0" applyFill="1" applyBorder="1" applyProtection="1">
      <protection hidden="1"/>
    </xf>
    <xf numFmtId="0" fontId="0" fillId="2" borderId="17" xfId="0" applyFill="1" applyBorder="1" applyProtection="1">
      <protection hidden="1"/>
    </xf>
    <xf numFmtId="0" fontId="1" fillId="0" borderId="23" xfId="0" applyFont="1" applyBorder="1" applyProtection="1">
      <protection hidden="1"/>
    </xf>
    <xf numFmtId="0" fontId="0" fillId="0" borderId="16" xfId="0" applyBorder="1" applyProtection="1">
      <protection hidden="1"/>
    </xf>
    <xf numFmtId="0" fontId="1" fillId="0" borderId="37" xfId="0" applyFont="1" applyBorder="1" applyProtection="1">
      <protection hidden="1"/>
    </xf>
    <xf numFmtId="0" fontId="0" fillId="0" borderId="24" xfId="0" applyBorder="1" applyProtection="1">
      <protection hidden="1"/>
    </xf>
    <xf numFmtId="0" fontId="0" fillId="0" borderId="19" xfId="0" applyBorder="1" applyProtection="1">
      <protection hidden="1"/>
    </xf>
    <xf numFmtId="0" fontId="0" fillId="2" borderId="29" xfId="0" applyFill="1" applyBorder="1" applyProtection="1">
      <protection hidden="1"/>
    </xf>
    <xf numFmtId="0" fontId="0" fillId="2" borderId="19" xfId="0" applyFill="1" applyBorder="1" applyProtection="1">
      <protection hidden="1"/>
    </xf>
    <xf numFmtId="0" fontId="1" fillId="0" borderId="24" xfId="0" applyFont="1" applyBorder="1" applyProtection="1">
      <protection hidden="1"/>
    </xf>
    <xf numFmtId="0" fontId="1" fillId="0" borderId="38" xfId="0" applyFont="1" applyBorder="1" applyProtection="1">
      <protection hidden="1"/>
    </xf>
    <xf numFmtId="0" fontId="0" fillId="0" borderId="25" xfId="0" applyBorder="1" applyProtection="1">
      <protection hidden="1"/>
    </xf>
    <xf numFmtId="0" fontId="0" fillId="0" borderId="21" xfId="0" applyBorder="1" applyProtection="1">
      <protection hidden="1"/>
    </xf>
    <xf numFmtId="0" fontId="1" fillId="0" borderId="18" xfId="0" applyFont="1" applyFill="1" applyBorder="1" applyProtection="1">
      <protection hidden="1"/>
    </xf>
    <xf numFmtId="0" fontId="1" fillId="0" borderId="24" xfId="0" applyFont="1" applyFill="1" applyBorder="1" applyProtection="1">
      <protection hidden="1"/>
    </xf>
    <xf numFmtId="0" fontId="0" fillId="2" borderId="44" xfId="0" applyFill="1" applyBorder="1" applyProtection="1">
      <protection hidden="1"/>
    </xf>
    <xf numFmtId="0" fontId="1" fillId="0" borderId="30" xfId="0" applyFont="1" applyBorder="1" applyProtection="1">
      <protection hidden="1"/>
    </xf>
    <xf numFmtId="0" fontId="1" fillId="0" borderId="34" xfId="0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" fillId="0" borderId="35" xfId="0" applyFont="1" applyFill="1" applyBorder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4" xfId="0" applyBorder="1" applyProtection="1">
      <protection hidden="1"/>
    </xf>
    <xf numFmtId="0" fontId="0" fillId="0" borderId="41" xfId="0" applyBorder="1" applyProtection="1">
      <protection hidden="1"/>
    </xf>
    <xf numFmtId="0" fontId="0" fillId="0" borderId="44" xfId="0" applyBorder="1" applyProtection="1">
      <protection hidden="1"/>
    </xf>
    <xf numFmtId="0" fontId="0" fillId="0" borderId="0" xfId="0" applyAlignment="1" applyProtection="1">
      <protection hidden="1"/>
    </xf>
    <xf numFmtId="16" fontId="0" fillId="0" borderId="0" xfId="0" applyNumberFormat="1" applyProtection="1">
      <protection hidden="1"/>
    </xf>
    <xf numFmtId="0" fontId="3" fillId="0" borderId="1" xfId="0" applyFont="1" applyBorder="1" applyProtection="1">
      <protection hidden="1"/>
    </xf>
    <xf numFmtId="0" fontId="2" fillId="0" borderId="32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center" vertical="center"/>
    </xf>
    <xf numFmtId="165" fontId="3" fillId="0" borderId="49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3" fillId="0" borderId="5" xfId="0" applyFont="1" applyBorder="1" applyProtection="1">
      <protection hidden="1"/>
    </xf>
    <xf numFmtId="0" fontId="0" fillId="0" borderId="0" xfId="0" applyFill="1" applyProtection="1">
      <protection hidden="1"/>
    </xf>
    <xf numFmtId="166" fontId="3" fillId="3" borderId="10" xfId="0" applyNumberFormat="1" applyFont="1" applyFill="1" applyBorder="1" applyAlignment="1" applyProtection="1">
      <alignment horizontal="center" vertical="center"/>
      <protection locked="0"/>
    </xf>
    <xf numFmtId="167" fontId="3" fillId="3" borderId="10" xfId="0" applyNumberFormat="1" applyFont="1" applyFill="1" applyBorder="1" applyAlignment="1" applyProtection="1">
      <alignment horizontal="center" vertical="center"/>
      <protection locked="0"/>
    </xf>
    <xf numFmtId="168" fontId="3" fillId="3" borderId="10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0" fillId="3" borderId="32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4" fillId="0" borderId="0" xfId="1" applyProtection="1">
      <protection hidden="1"/>
    </xf>
    <xf numFmtId="0" fontId="5" fillId="0" borderId="0" xfId="0" applyFont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4" borderId="0" xfId="0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7" xfId="0" applyFont="1" applyBorder="1" applyAlignment="1" applyProtection="1">
      <alignment horizont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32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0" fontId="0" fillId="3" borderId="21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47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36" xfId="0" applyBorder="1" applyAlignment="1" applyProtection="1">
      <alignment horizontal="center"/>
      <protection hidden="1"/>
    </xf>
    <xf numFmtId="0" fontId="0" fillId="0" borderId="7" xfId="0" applyFont="1" applyBorder="1" applyAlignment="1" applyProtection="1">
      <alignment horizontal="center"/>
      <protection hidden="1"/>
    </xf>
    <xf numFmtId="0" fontId="0" fillId="0" borderId="12" xfId="0" applyFont="1" applyBorder="1" applyAlignment="1" applyProtection="1">
      <alignment horizontal="center"/>
      <protection hidden="1"/>
    </xf>
    <xf numFmtId="0" fontId="0" fillId="0" borderId="36" xfId="0" applyFont="1" applyBorder="1" applyAlignment="1" applyProtection="1">
      <alignment horizontal="center"/>
      <protection hidden="1"/>
    </xf>
    <xf numFmtId="0" fontId="0" fillId="0" borderId="11" xfId="0" applyNumberFormat="1" applyBorder="1" applyAlignment="1" applyProtection="1">
      <alignment horizontal="center"/>
      <protection hidden="1"/>
    </xf>
    <xf numFmtId="0" fontId="0" fillId="0" borderId="12" xfId="0" applyNumberFormat="1" applyBorder="1" applyAlignment="1" applyProtection="1">
      <alignment horizontal="center"/>
      <protection hidden="1"/>
    </xf>
    <xf numFmtId="0" fontId="0" fillId="0" borderId="8" xfId="0" applyNumberFormat="1" applyBorder="1" applyAlignment="1" applyProtection="1">
      <alignment horizontal="center"/>
      <protection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164" fontId="3" fillId="4" borderId="9" xfId="0" applyNumberFormat="1" applyFont="1" applyFill="1" applyBorder="1" applyAlignment="1" applyProtection="1">
      <alignment horizontal="center" vertical="center"/>
      <protection locked="0"/>
    </xf>
    <xf numFmtId="164" fontId="3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2142349752105642E-2"/>
          <c:y val="3.3483910553692075E-4"/>
          <c:w val="0.98038012151236664"/>
          <c:h val="0.98876320714070787"/>
        </c:manualLayout>
      </c:layout>
      <c:scatterChart>
        <c:scatterStyle val="smoothMarker"/>
        <c:varyColors val="0"/>
        <c:ser>
          <c:idx val="0"/>
          <c:order val="0"/>
          <c:spPr>
            <a:ln w="0">
              <a:solidFill>
                <a:srgbClr val="FF0000"/>
              </a:solidFill>
            </a:ln>
          </c:spPr>
          <c:marker>
            <c:symbol val="x"/>
            <c:size val="5"/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circle"/>
              <c:size val="5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  <c:bubble3D val="0"/>
          </c:dPt>
          <c:xVal>
            <c:numRef>
              <c:f>Irsid!$AJ$28:$AJ$29</c:f>
              <c:numCache>
                <c:formatCode>General</c:formatCode>
                <c:ptCount val="2"/>
                <c:pt idx="0">
                  <c:v>9.3712499999999999</c:v>
                </c:pt>
                <c:pt idx="1">
                  <c:v>9.3712499999999999</c:v>
                </c:pt>
              </c:numCache>
            </c:numRef>
          </c:xVal>
          <c:yVal>
            <c:numRef>
              <c:f>Irsid!$AK$28:$AK$29</c:f>
              <c:numCache>
                <c:formatCode>General</c:formatCode>
                <c:ptCount val="2"/>
                <c:pt idx="0">
                  <c:v>13</c:v>
                </c:pt>
                <c:pt idx="1">
                  <c:v>4.6186066176470586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Irsid!$AJ$29:$AJ$30</c:f>
              <c:strCache>
                <c:ptCount val="2"/>
                <c:pt idx="0">
                  <c:v>9,37125</c:v>
                </c:pt>
                <c:pt idx="1">
                  <c:v>30,02528186</c:v>
                </c:pt>
              </c:strCache>
            </c:strRef>
          </c:tx>
          <c:spPr>
            <a:ln w="6350">
              <a:solidFill>
                <a:srgbClr val="FF0000"/>
              </a:solidFill>
            </a:ln>
          </c:spPr>
          <c:marker>
            <c:symbol val="x"/>
            <c:size val="5"/>
          </c:marker>
          <c:dPt>
            <c:idx val="0"/>
            <c:marker>
              <c:symbol val="circle"/>
              <c:size val="6"/>
              <c:spPr>
                <a:solidFill>
                  <a:srgbClr val="FF0000"/>
                </a:solidFill>
              </c:spPr>
            </c:marker>
            <c:bubble3D val="0"/>
          </c:dPt>
          <c:xVal>
            <c:numRef>
              <c:f>Irsid!$AJ$29:$AJ$30</c:f>
              <c:numCache>
                <c:formatCode>General</c:formatCode>
                <c:ptCount val="2"/>
                <c:pt idx="0">
                  <c:v>9.3712499999999999</c:v>
                </c:pt>
                <c:pt idx="1">
                  <c:v>30.025281862745096</c:v>
                </c:pt>
              </c:numCache>
            </c:numRef>
          </c:xVal>
          <c:yVal>
            <c:numRef>
              <c:f>Irsid!$AK$29:$AK$30</c:f>
              <c:numCache>
                <c:formatCode>General</c:formatCode>
                <c:ptCount val="2"/>
                <c:pt idx="0">
                  <c:v>4.6186066176470586</c:v>
                </c:pt>
                <c:pt idx="1">
                  <c:v>4.6186066176470586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rgbClr val="FF0000"/>
              </a:solidFill>
            </a:ln>
          </c:spPr>
          <c:marker>
            <c:symbol val="circle"/>
            <c:size val="6"/>
            <c:spPr>
              <a:ln>
                <a:solidFill>
                  <a:srgbClr val="FF0000"/>
                </a:solidFill>
              </a:ln>
            </c:spPr>
          </c:marker>
          <c:dPt>
            <c:idx val="0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  <c:bubble3D val="0"/>
            <c:spPr>
              <a:ln w="6350">
                <a:solidFill>
                  <a:srgbClr val="FF0000"/>
                </a:solidFill>
              </a:ln>
            </c:spPr>
          </c:dPt>
          <c:dPt>
            <c:idx val="1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</a:ln>
              </c:spPr>
            </c:marker>
            <c:bubble3D val="0"/>
            <c:spPr>
              <a:ln w="6350">
                <a:solidFill>
                  <a:srgbClr val="FF0000"/>
                </a:solidFill>
              </a:ln>
            </c:spPr>
          </c:dPt>
          <c:xVal>
            <c:numRef>
              <c:f>Irsid!$AJ$30:$AJ$31</c:f>
              <c:numCache>
                <c:formatCode>General</c:formatCode>
                <c:ptCount val="2"/>
                <c:pt idx="0">
                  <c:v>30.025281862745096</c:v>
                </c:pt>
                <c:pt idx="1">
                  <c:v>30.025281862745096</c:v>
                </c:pt>
              </c:numCache>
            </c:numRef>
          </c:xVal>
          <c:yVal>
            <c:numRef>
              <c:f>Irsid!$AK$30:$AK$31</c:f>
              <c:numCache>
                <c:formatCode>General</c:formatCode>
                <c:ptCount val="2"/>
                <c:pt idx="0">
                  <c:v>4.6186066176470586</c:v>
                </c:pt>
                <c:pt idx="1">
                  <c:v>22.495999999999999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dPt>
            <c:idx val="0"/>
            <c:bubble3D val="0"/>
            <c:spPr>
              <a:ln w="6350"/>
            </c:spPr>
          </c:dPt>
          <c:dPt>
            <c:idx val="1"/>
            <c:bubble3D val="0"/>
            <c:spPr>
              <a:ln w="6350">
                <a:solidFill>
                  <a:srgbClr val="FF0000"/>
                </a:solidFill>
              </a:ln>
            </c:spPr>
          </c:dPt>
          <c:xVal>
            <c:numRef>
              <c:f>Irsid!$AJ$31:$AJ$32</c:f>
              <c:numCache>
                <c:formatCode>General</c:formatCode>
                <c:ptCount val="2"/>
                <c:pt idx="0">
                  <c:v>30.025281862745096</c:v>
                </c:pt>
                <c:pt idx="1">
                  <c:v>17.079999999999998</c:v>
                </c:pt>
              </c:numCache>
            </c:numRef>
          </c:xVal>
          <c:yVal>
            <c:numRef>
              <c:f>Irsid!$AK$31:$AK$32</c:f>
              <c:numCache>
                <c:formatCode>General</c:formatCode>
                <c:ptCount val="2"/>
                <c:pt idx="0">
                  <c:v>22.495999999999999</c:v>
                </c:pt>
                <c:pt idx="1">
                  <c:v>22.495999999999999</c:v>
                </c:pt>
              </c:numCache>
            </c:numRef>
          </c:yVal>
          <c:smooth val="1"/>
        </c:ser>
        <c:ser>
          <c:idx val="4"/>
          <c:order val="4"/>
          <c:spPr>
            <a:ln w="6350">
              <a:solidFill>
                <a:srgbClr val="00B0F0"/>
              </a:solidFill>
            </a:ln>
          </c:spPr>
          <c:marker>
            <c:symbol val="circle"/>
            <c:size val="6"/>
            <c:spPr>
              <a:solidFill>
                <a:srgbClr val="00B0F0"/>
              </a:solidFill>
            </c:spPr>
          </c:marker>
          <c:xVal>
            <c:numRef>
              <c:f>Irsid!$AL$28:$AL$29</c:f>
              <c:numCache>
                <c:formatCode>General</c:formatCode>
                <c:ptCount val="2"/>
                <c:pt idx="0">
                  <c:v>30.025281862745096</c:v>
                </c:pt>
                <c:pt idx="1">
                  <c:v>31.564848426212588</c:v>
                </c:pt>
              </c:numCache>
            </c:numRef>
          </c:xVal>
          <c:yVal>
            <c:numRef>
              <c:f>Irsid!$AM$28:$AM$29</c:f>
              <c:numCache>
                <c:formatCode>General</c:formatCode>
                <c:ptCount val="2"/>
                <c:pt idx="0">
                  <c:v>14.615</c:v>
                </c:pt>
                <c:pt idx="1">
                  <c:v>14.023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Irsid!$AH$29:$AH$30</c:f>
              <c:strCache>
                <c:ptCount val="2"/>
                <c:pt idx="0">
                  <c:v>31,56484843</c:v>
                </c:pt>
                <c:pt idx="1">
                  <c:v>31,56484843</c:v>
                </c:pt>
              </c:strCache>
            </c:strRef>
          </c:tx>
          <c:spPr>
            <a:ln w="635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Irsid!$AL$29:$AL$30</c:f>
              <c:numCache>
                <c:formatCode>General</c:formatCode>
                <c:ptCount val="2"/>
                <c:pt idx="0">
                  <c:v>31.564848426212588</c:v>
                </c:pt>
                <c:pt idx="1">
                  <c:v>31.564848426212588</c:v>
                </c:pt>
              </c:numCache>
            </c:numRef>
          </c:xVal>
          <c:yVal>
            <c:numRef>
              <c:f>Irsid!$AM$29:$AM$30</c:f>
              <c:numCache>
                <c:formatCode>General</c:formatCode>
                <c:ptCount val="2"/>
                <c:pt idx="0">
                  <c:v>14.023</c:v>
                </c:pt>
                <c:pt idx="1">
                  <c:v>23.069499999999991</c:v>
                </c:pt>
              </c:numCache>
            </c:numRef>
          </c:yVal>
          <c:smooth val="1"/>
        </c:ser>
        <c:ser>
          <c:idx val="6"/>
          <c:order val="6"/>
          <c:dPt>
            <c:idx val="0"/>
            <c:marker>
              <c:symbol val="circle"/>
              <c:size val="6"/>
              <c:spPr>
                <a:solidFill>
                  <a:srgbClr val="00B0F0"/>
                </a:solidFill>
              </c:spPr>
            </c:marker>
            <c:bubble3D val="0"/>
          </c:dPt>
          <c:dPt>
            <c:idx val="1"/>
            <c:marker>
              <c:symbol val="circle"/>
              <c:size val="6"/>
              <c:spPr>
                <a:solidFill>
                  <a:srgbClr val="00B0F0"/>
                </a:solidFill>
              </c:spPr>
            </c:marker>
            <c:bubble3D val="0"/>
            <c:spPr>
              <a:ln w="635">
                <a:solidFill>
                  <a:srgbClr val="00B0F0"/>
                </a:solidFill>
              </a:ln>
            </c:spPr>
          </c:dPt>
          <c:xVal>
            <c:numRef>
              <c:f>Irsid!$AL$30:$AL$31</c:f>
              <c:numCache>
                <c:formatCode>General</c:formatCode>
                <c:ptCount val="2"/>
                <c:pt idx="0">
                  <c:v>31.564848426212588</c:v>
                </c:pt>
                <c:pt idx="1">
                  <c:v>15.443750000000001</c:v>
                </c:pt>
              </c:numCache>
            </c:numRef>
          </c:xVal>
          <c:yVal>
            <c:numRef>
              <c:f>Irsid!$AM$30:$AM$31</c:f>
              <c:numCache>
                <c:formatCode>General</c:formatCode>
                <c:ptCount val="2"/>
                <c:pt idx="0">
                  <c:v>23.069499999999991</c:v>
                </c:pt>
                <c:pt idx="1">
                  <c:v>23.069499999999991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943400"/>
        <c:axId val="214947320"/>
      </c:scatterChart>
      <c:valAx>
        <c:axId val="214943400"/>
        <c:scaling>
          <c:orientation val="minMax"/>
          <c:max val="35"/>
          <c:min val="0"/>
        </c:scaling>
        <c:delete val="1"/>
        <c:axPos val="b"/>
        <c:majorGridlines/>
        <c:numFmt formatCode="General" sourceLinked="1"/>
        <c:majorTickMark val="none"/>
        <c:minorTickMark val="none"/>
        <c:tickLblPos val="nextTo"/>
        <c:crossAx val="214947320"/>
        <c:crosses val="autoZero"/>
        <c:crossBetween val="midCat"/>
        <c:majorUnit val="35"/>
      </c:valAx>
      <c:valAx>
        <c:axId val="214947320"/>
        <c:scaling>
          <c:orientation val="minMax"/>
          <c:max val="37"/>
          <c:min val="0"/>
        </c:scaling>
        <c:delete val="1"/>
        <c:axPos val="l"/>
        <c:majorGridlines/>
        <c:numFmt formatCode="General" sourceLinked="1"/>
        <c:majorTickMark val="none"/>
        <c:minorTickMark val="none"/>
        <c:tickLblPos val="nextTo"/>
        <c:crossAx val="214943400"/>
        <c:crosses val="autoZero"/>
        <c:crossBetween val="midCat"/>
        <c:majorUnit val="37"/>
      </c:valAx>
      <c:spPr>
        <a:blipFill>
          <a:blip xmlns:r="http://schemas.openxmlformats.org/officeDocument/2006/relationships" r:embed="rId1"/>
          <a:stretch>
            <a:fillRect/>
          </a:stretch>
        </a:blipFill>
        <a:ln>
          <a:noFill/>
        </a:ln>
      </c:spPr>
    </c:plotArea>
    <c:plotVisOnly val="0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82925</xdr:colOff>
      <xdr:row>10</xdr:row>
      <xdr:rowOff>134365</xdr:rowOff>
    </xdr:from>
    <xdr:to>
      <xdr:col>10</xdr:col>
      <xdr:colOff>324670</xdr:colOff>
      <xdr:row>47</xdr:row>
      <xdr:rowOff>47296</xdr:rowOff>
    </xdr:to>
    <xdr:graphicFrame macro="">
      <xdr:nvGraphicFramePr>
        <xdr:cNvPr id="4" name="Graphique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12</xdr:col>
      <xdr:colOff>291353</xdr:colOff>
      <xdr:row>5</xdr:row>
      <xdr:rowOff>134470</xdr:rowOff>
    </xdr:from>
    <xdr:to>
      <xdr:col>17</xdr:col>
      <xdr:colOff>179294</xdr:colOff>
      <xdr:row>9</xdr:row>
      <xdr:rowOff>78441</xdr:rowOff>
    </xdr:to>
    <xdr:sp macro="" textlink="">
      <xdr:nvSpPr>
        <xdr:cNvPr id="2" name="ZoneTexte 1"/>
        <xdr:cNvSpPr txBox="1"/>
      </xdr:nvSpPr>
      <xdr:spPr>
        <a:xfrm>
          <a:off x="5995147" y="1199029"/>
          <a:ext cx="2005853" cy="795618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Géométrie du joint suivant les tableaux sur le graphique</a:t>
          </a:r>
        </a:p>
      </xdr:txBody>
    </xdr:sp>
    <xdr:clientData/>
  </xdr:twoCellAnchor>
  <xdr:twoCellAnchor>
    <xdr:from>
      <xdr:col>10</xdr:col>
      <xdr:colOff>201706</xdr:colOff>
      <xdr:row>6</xdr:row>
      <xdr:rowOff>134470</xdr:rowOff>
    </xdr:from>
    <xdr:to>
      <xdr:col>13</xdr:col>
      <xdr:colOff>112059</xdr:colOff>
      <xdr:row>8</xdr:row>
      <xdr:rowOff>156882</xdr:rowOff>
    </xdr:to>
    <xdr:cxnSp macro="">
      <xdr:nvCxnSpPr>
        <xdr:cNvPr id="5" name="Connecteur droit avec flèche 4"/>
        <xdr:cNvCxnSpPr/>
      </xdr:nvCxnSpPr>
      <xdr:spPr>
        <a:xfrm flipH="1" flipV="1">
          <a:off x="5188324" y="1411941"/>
          <a:ext cx="952500" cy="44823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oic.laboure@lamache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54"/>
  <sheetViews>
    <sheetView tabSelected="1" zoomScale="85" zoomScaleNormal="85" workbookViewId="0">
      <selection activeCell="H5" sqref="H5:K5"/>
    </sheetView>
  </sheetViews>
  <sheetFormatPr baseColWidth="10" defaultRowHeight="15" x14ac:dyDescent="0.25"/>
  <cols>
    <col min="1" max="1" width="5.7109375" style="39" customWidth="1"/>
    <col min="2" max="2" width="13.28515625" style="39" customWidth="1"/>
    <col min="3" max="3" width="20.5703125" style="39" customWidth="1"/>
    <col min="4" max="11" width="5" style="39" customWidth="1"/>
    <col min="12" max="12" width="5.7109375" style="39" customWidth="1"/>
    <col min="13" max="13" width="4.85546875" style="39" customWidth="1"/>
    <col min="14" max="14" width="4" style="39" customWidth="1"/>
    <col min="15" max="15" width="6.5703125" style="39" customWidth="1"/>
    <col min="16" max="16" width="8.85546875" style="39" customWidth="1"/>
    <col min="17" max="17" width="7.42578125" style="39" customWidth="1"/>
    <col min="18" max="18" width="11.85546875" style="39" customWidth="1"/>
    <col min="19" max="19" width="8.5703125" style="39" customWidth="1"/>
    <col min="20" max="20" width="0" style="39" hidden="1" customWidth="1"/>
    <col min="21" max="21" width="8.5703125" style="39" hidden="1" customWidth="1"/>
    <col min="22" max="23" width="7" style="39" hidden="1" customWidth="1"/>
    <col min="24" max="24" width="4.5703125" style="39" hidden="1" customWidth="1"/>
    <col min="25" max="25" width="7" style="39" hidden="1" customWidth="1"/>
    <col min="26" max="26" width="3.7109375" style="39" hidden="1" customWidth="1"/>
    <col min="27" max="27" width="6.85546875" style="39" hidden="1" customWidth="1"/>
    <col min="28" max="29" width="7" style="39" hidden="1" customWidth="1"/>
    <col min="30" max="30" width="9.42578125" style="39" hidden="1" customWidth="1"/>
    <col min="31" max="31" width="8.42578125" style="39" hidden="1" customWidth="1"/>
    <col min="32" max="32" width="8.5703125" style="39" hidden="1" customWidth="1"/>
    <col min="33" max="33" width="3.7109375" style="39" hidden="1" customWidth="1"/>
    <col min="34" max="35" width="7" style="39" hidden="1" customWidth="1"/>
    <col min="36" max="36" width="7.7109375" style="39" hidden="1" customWidth="1"/>
    <col min="37" max="41" width="7" style="39" hidden="1" customWidth="1"/>
    <col min="42" max="42" width="27.5703125" style="39" hidden="1" customWidth="1"/>
    <col min="43" max="16384" width="11.42578125" style="39"/>
  </cols>
  <sheetData>
    <row r="1" spans="2:42" ht="16.5" thickBot="1" x14ac:dyDescent="0.3">
      <c r="B1" s="114"/>
      <c r="C1" s="121"/>
      <c r="D1" s="119" t="s">
        <v>4</v>
      </c>
      <c r="E1" s="120" t="s">
        <v>5</v>
      </c>
      <c r="F1" s="120" t="s">
        <v>2</v>
      </c>
      <c r="G1" s="120" t="s">
        <v>0</v>
      </c>
      <c r="H1" s="120" t="s">
        <v>1</v>
      </c>
      <c r="I1" s="120" t="s">
        <v>6</v>
      </c>
      <c r="J1" s="120" t="s">
        <v>7</v>
      </c>
      <c r="K1" s="118" t="s">
        <v>3</v>
      </c>
      <c r="U1" s="2" t="s">
        <v>32</v>
      </c>
      <c r="V1" s="60" t="s">
        <v>20</v>
      </c>
      <c r="W1" s="50" t="s">
        <v>21</v>
      </c>
      <c r="X1" s="135" t="s">
        <v>14</v>
      </c>
      <c r="Y1" s="136"/>
      <c r="Z1" s="138" t="s">
        <v>31</v>
      </c>
      <c r="AA1" s="139"/>
      <c r="AB1" s="139"/>
      <c r="AC1" s="139"/>
      <c r="AD1" s="139"/>
      <c r="AE1" s="139"/>
      <c r="AF1" s="140"/>
      <c r="AG1" s="136" t="s">
        <v>19</v>
      </c>
      <c r="AH1" s="136"/>
      <c r="AI1" s="137"/>
      <c r="AJ1" s="1"/>
      <c r="AK1" s="135">
        <v>30</v>
      </c>
      <c r="AL1" s="137"/>
      <c r="AM1" s="135">
        <v>10</v>
      </c>
      <c r="AN1" s="137"/>
      <c r="AO1" s="135">
        <v>0.6</v>
      </c>
      <c r="AP1" s="137"/>
    </row>
    <row r="2" spans="2:42" ht="16.5" thickBot="1" x14ac:dyDescent="0.3">
      <c r="B2" s="119" t="s">
        <v>51</v>
      </c>
      <c r="C2" s="126"/>
      <c r="D2" s="127"/>
      <c r="E2" s="128"/>
      <c r="F2" s="128"/>
      <c r="G2" s="128"/>
      <c r="H2" s="128"/>
      <c r="I2" s="128"/>
      <c r="J2" s="128"/>
      <c r="K2" s="129"/>
      <c r="M2" s="132" t="s">
        <v>57</v>
      </c>
      <c r="N2" s="132"/>
      <c r="O2" s="132"/>
      <c r="P2" s="132"/>
      <c r="Q2" s="132"/>
      <c r="R2" s="131" t="s">
        <v>52</v>
      </c>
      <c r="S2" s="39" t="s">
        <v>53</v>
      </c>
      <c r="U2" s="2">
        <v>0.6</v>
      </c>
      <c r="V2" s="3" t="str">
        <f>IF($H$7=AO1,AP2,"")</f>
        <v/>
      </c>
      <c r="W2" s="7" t="str">
        <f>IF($H$7=AO1,AP3,"")</f>
        <v/>
      </c>
      <c r="X2" s="8">
        <v>0</v>
      </c>
      <c r="Y2" s="72">
        <v>18.2</v>
      </c>
      <c r="Z2" s="73">
        <v>0</v>
      </c>
      <c r="AA2" s="74">
        <v>3</v>
      </c>
      <c r="AB2" s="75">
        <f t="shared" ref="AB2:AB17" si="0">Y2-Y3</f>
        <v>1.5749999999999993</v>
      </c>
      <c r="AC2" s="54" t="str">
        <f t="shared" ref="AC2:AC17" si="1">IF(AND($C$8&gt;Z2,$C$8&lt;=AA2),AB2,"")</f>
        <v/>
      </c>
      <c r="AD2" s="54" t="str">
        <f t="shared" ref="AD2:AD17" si="2">IF(AND($C$8&gt;Z2,$C$8&lt;=AA2),(AA2-Z2),"")</f>
        <v/>
      </c>
      <c r="AE2" s="54" t="str">
        <f t="shared" ref="AE2:AE17" si="3">IF(AND($C$8&gt;Z2,$C$8&lt;=AA2),($C$8-Z2),"")</f>
        <v/>
      </c>
      <c r="AF2" s="55" t="str">
        <f t="shared" ref="AF2:AF17" si="4">IF(AND($C$8&gt;Z2,$C$8&lt;=AA2),(Y2),"")</f>
        <v/>
      </c>
      <c r="AG2" s="5">
        <v>60</v>
      </c>
      <c r="AH2" s="6">
        <v>28.896999999999998</v>
      </c>
      <c r="AI2" s="4" t="str">
        <f t="shared" ref="AI2:AI13" si="5">IF(AG2=$H$6,AH2,"")</f>
        <v/>
      </c>
      <c r="AJ2" s="9"/>
      <c r="AK2" s="59" t="s">
        <v>12</v>
      </c>
      <c r="AL2" s="61" t="s">
        <v>13</v>
      </c>
      <c r="AM2" s="10" t="s">
        <v>12</v>
      </c>
      <c r="AN2" s="61" t="s">
        <v>13</v>
      </c>
      <c r="AO2" s="57" t="s">
        <v>10</v>
      </c>
      <c r="AP2" s="58">
        <f>(AL3-AN3)/(AK3-AM3)</f>
        <v>0.75510204081632637</v>
      </c>
    </row>
    <row r="3" spans="2:42" ht="16.5" customHeight="1" thickBot="1" x14ac:dyDescent="0.3">
      <c r="B3" s="148" t="s">
        <v>59</v>
      </c>
      <c r="C3" s="149"/>
      <c r="D3" s="156">
        <f>D2+((E2+F2)/6)+((G2+H2+I2)/5)+((J2+K2)/15)</f>
        <v>0</v>
      </c>
      <c r="E3" s="157"/>
      <c r="F3" s="158"/>
      <c r="G3" s="162" t="str">
        <f>IF(D3&lt;0.45,"Acier facilement soudable",IF(AND(D3&gt;0.45,D3&lt;65),"Acier moyennement soudable",(IF(D3&gt;65,"Acier difficilement soudable",""))))</f>
        <v>Acier facilement soudable</v>
      </c>
      <c r="H3" s="163"/>
      <c r="I3" s="163"/>
      <c r="J3" s="163"/>
      <c r="K3" s="164"/>
      <c r="M3" s="133" t="s">
        <v>58</v>
      </c>
      <c r="N3" s="133"/>
      <c r="O3" s="133"/>
      <c r="P3" s="133"/>
      <c r="Q3" s="133"/>
      <c r="R3" s="131" t="s">
        <v>55</v>
      </c>
      <c r="S3" s="130" t="s">
        <v>54</v>
      </c>
      <c r="U3" s="11">
        <v>0.75</v>
      </c>
      <c r="V3" s="12" t="str">
        <f>IF($H$7=AO4,AP5,"")</f>
        <v/>
      </c>
      <c r="W3" s="16" t="str">
        <f>IF($H$7=AO4,AP6,"")</f>
        <v/>
      </c>
      <c r="X3" s="8">
        <v>3</v>
      </c>
      <c r="Y3" s="51">
        <v>16.625</v>
      </c>
      <c r="Z3" s="76">
        <v>3</v>
      </c>
      <c r="AA3" s="77">
        <v>4</v>
      </c>
      <c r="AB3" s="75">
        <f t="shared" si="0"/>
        <v>1.1549999999999994</v>
      </c>
      <c r="AC3" s="53" t="str">
        <f t="shared" si="1"/>
        <v/>
      </c>
      <c r="AD3" s="53" t="str">
        <f t="shared" si="2"/>
        <v/>
      </c>
      <c r="AE3" s="53" t="str">
        <f t="shared" si="3"/>
        <v/>
      </c>
      <c r="AF3" s="13" t="str">
        <f t="shared" si="4"/>
        <v/>
      </c>
      <c r="AG3" s="14">
        <v>50</v>
      </c>
      <c r="AH3" s="15">
        <v>27.861000000000004</v>
      </c>
      <c r="AI3" s="13" t="str">
        <f t="shared" si="5"/>
        <v/>
      </c>
      <c r="AJ3" s="2">
        <v>0.6</v>
      </c>
      <c r="AK3" s="18">
        <v>7.5949999999999998</v>
      </c>
      <c r="AL3" s="19">
        <v>6.66</v>
      </c>
      <c r="AM3" s="20">
        <v>11.76</v>
      </c>
      <c r="AN3" s="19">
        <v>9.8049999999999997</v>
      </c>
      <c r="AO3" s="21" t="s">
        <v>11</v>
      </c>
      <c r="AP3" s="9">
        <f>AN3-AP2*AM3</f>
        <v>0.92500000000000249</v>
      </c>
    </row>
    <row r="4" spans="2:42" ht="16.5" thickBot="1" x14ac:dyDescent="0.3">
      <c r="B4" s="150" t="s">
        <v>60</v>
      </c>
      <c r="C4" s="151"/>
      <c r="D4" s="159">
        <f>D3+(0.0254*(H6/10))</f>
        <v>5.0799999999999998E-2</v>
      </c>
      <c r="E4" s="160"/>
      <c r="F4" s="161"/>
      <c r="G4" s="165"/>
      <c r="H4" s="157"/>
      <c r="I4" s="157"/>
      <c r="J4" s="157"/>
      <c r="K4" s="166"/>
      <c r="U4" s="22">
        <v>0.89</v>
      </c>
      <c r="V4" s="12" t="str">
        <f>IF($H$7=AO7,AP8,"")</f>
        <v/>
      </c>
      <c r="W4" s="16" t="str">
        <f>IF($H$7=AO7,AP9,"")</f>
        <v/>
      </c>
      <c r="X4" s="17">
        <v>4</v>
      </c>
      <c r="Y4" s="52">
        <v>15.47</v>
      </c>
      <c r="Z4" s="76">
        <v>4</v>
      </c>
      <c r="AA4" s="77">
        <v>5</v>
      </c>
      <c r="AB4" s="75">
        <f t="shared" si="0"/>
        <v>0.94500000000000028</v>
      </c>
      <c r="AC4" s="53" t="str">
        <f t="shared" si="1"/>
        <v/>
      </c>
      <c r="AD4" s="53" t="str">
        <f t="shared" si="2"/>
        <v/>
      </c>
      <c r="AE4" s="53" t="str">
        <f t="shared" si="3"/>
        <v/>
      </c>
      <c r="AF4" s="13" t="str">
        <f t="shared" si="4"/>
        <v/>
      </c>
      <c r="AG4" s="14">
        <v>40</v>
      </c>
      <c r="AH4" s="15">
        <v>26.492000000000001</v>
      </c>
      <c r="AI4" s="13" t="str">
        <f t="shared" si="5"/>
        <v/>
      </c>
      <c r="AJ4" s="22">
        <v>0.75</v>
      </c>
      <c r="AK4" s="23">
        <v>7.5949999999999998</v>
      </c>
      <c r="AL4" s="24">
        <v>6.1050000000000004</v>
      </c>
      <c r="AM4" s="25">
        <v>11.76</v>
      </c>
      <c r="AN4" s="24">
        <v>9.2129999999999992</v>
      </c>
      <c r="AO4" s="135">
        <v>0.75</v>
      </c>
      <c r="AP4" s="137"/>
    </row>
    <row r="5" spans="2:42" ht="16.5" thickBot="1" x14ac:dyDescent="0.3">
      <c r="B5" s="115" t="s">
        <v>25</v>
      </c>
      <c r="C5" s="123">
        <v>50</v>
      </c>
      <c r="D5" s="154" t="s">
        <v>50</v>
      </c>
      <c r="E5" s="155"/>
      <c r="F5" s="155"/>
      <c r="G5" s="155"/>
      <c r="H5" s="167" t="s">
        <v>23</v>
      </c>
      <c r="I5" s="167"/>
      <c r="J5" s="167"/>
      <c r="K5" s="168"/>
      <c r="U5" s="22">
        <v>1</v>
      </c>
      <c r="V5" s="12" t="str">
        <f>IF($H$7=AO10,AP11,"")</f>
        <v/>
      </c>
      <c r="W5" s="16" t="str">
        <f>IF($H$7=AO10,AP12,"")</f>
        <v/>
      </c>
      <c r="X5" s="17">
        <v>5</v>
      </c>
      <c r="Y5" s="52">
        <v>14.525</v>
      </c>
      <c r="Z5" s="76">
        <v>5</v>
      </c>
      <c r="AA5" s="77">
        <v>6</v>
      </c>
      <c r="AB5" s="75">
        <f t="shared" si="0"/>
        <v>0.73500000000000121</v>
      </c>
      <c r="AC5" s="53" t="str">
        <f t="shared" si="1"/>
        <v/>
      </c>
      <c r="AD5" s="53" t="str">
        <f t="shared" si="2"/>
        <v/>
      </c>
      <c r="AE5" s="53" t="str">
        <f t="shared" si="3"/>
        <v/>
      </c>
      <c r="AF5" s="13" t="str">
        <f t="shared" si="4"/>
        <v/>
      </c>
      <c r="AG5" s="14">
        <v>30</v>
      </c>
      <c r="AH5" s="15">
        <v>24.79</v>
      </c>
      <c r="AI5" s="13" t="str">
        <f t="shared" si="5"/>
        <v/>
      </c>
      <c r="AJ5" s="22">
        <v>0.89</v>
      </c>
      <c r="AK5" s="23">
        <v>7.5949999999999998</v>
      </c>
      <c r="AL5" s="24">
        <v>5.6980000000000004</v>
      </c>
      <c r="AM5" s="25">
        <v>11.76</v>
      </c>
      <c r="AN5" s="24">
        <v>8.6950000000000003</v>
      </c>
      <c r="AO5" s="57" t="s">
        <v>10</v>
      </c>
      <c r="AP5" s="58">
        <f>(AL4-AN4)/(AK4-AM4)</f>
        <v>0.74621848739495766</v>
      </c>
    </row>
    <row r="6" spans="2:42" ht="16.5" thickBot="1" x14ac:dyDescent="0.3">
      <c r="B6" s="115" t="s">
        <v>26</v>
      </c>
      <c r="C6" s="124">
        <v>150</v>
      </c>
      <c r="D6" s="154" t="s">
        <v>56</v>
      </c>
      <c r="E6" s="155"/>
      <c r="F6" s="155"/>
      <c r="G6" s="155"/>
      <c r="H6" s="169">
        <v>20</v>
      </c>
      <c r="I6" s="169"/>
      <c r="J6" s="169"/>
      <c r="K6" s="170"/>
      <c r="R6" s="122"/>
      <c r="U6" s="22">
        <v>1.5</v>
      </c>
      <c r="V6" s="12" t="str">
        <f>IF($H$7=AO13,AP14,"")</f>
        <v/>
      </c>
      <c r="W6" s="16" t="str">
        <f>IF($H$7=AO13,AP15,"")</f>
        <v/>
      </c>
      <c r="X6" s="17">
        <v>6</v>
      </c>
      <c r="Y6" s="52">
        <v>13.79</v>
      </c>
      <c r="Z6" s="76">
        <v>6</v>
      </c>
      <c r="AA6" s="77">
        <v>7</v>
      </c>
      <c r="AB6" s="75">
        <f t="shared" si="0"/>
        <v>0.55999999999999872</v>
      </c>
      <c r="AC6" s="53" t="str">
        <f t="shared" si="1"/>
        <v/>
      </c>
      <c r="AD6" s="53" t="str">
        <f t="shared" si="2"/>
        <v/>
      </c>
      <c r="AE6" s="53" t="str">
        <f t="shared" si="3"/>
        <v/>
      </c>
      <c r="AF6" s="13" t="str">
        <f t="shared" si="4"/>
        <v/>
      </c>
      <c r="AG6" s="14">
        <v>25</v>
      </c>
      <c r="AH6" s="15">
        <v>23.754000000000001</v>
      </c>
      <c r="AI6" s="13" t="str">
        <f t="shared" si="5"/>
        <v/>
      </c>
      <c r="AJ6" s="22">
        <v>1</v>
      </c>
      <c r="AK6" s="23">
        <v>7.5949999999999998</v>
      </c>
      <c r="AL6" s="24">
        <v>5.2539999999999996</v>
      </c>
      <c r="AM6" s="25">
        <v>11.76</v>
      </c>
      <c r="AN6" s="24">
        <v>8.2509999999999994</v>
      </c>
      <c r="AO6" s="21" t="s">
        <v>11</v>
      </c>
      <c r="AP6" s="9">
        <f>AN4-AP5*AM4</f>
        <v>0.43747058823529805</v>
      </c>
    </row>
    <row r="7" spans="2:42" ht="16.5" thickBot="1" x14ac:dyDescent="0.3">
      <c r="B7" s="115" t="s">
        <v>27</v>
      </c>
      <c r="C7" s="125">
        <v>24</v>
      </c>
      <c r="D7" s="154" t="s">
        <v>24</v>
      </c>
      <c r="E7" s="155"/>
      <c r="F7" s="155"/>
      <c r="G7" s="155"/>
      <c r="H7" s="167">
        <v>2</v>
      </c>
      <c r="I7" s="167"/>
      <c r="J7" s="167"/>
      <c r="K7" s="168"/>
      <c r="R7" s="122"/>
      <c r="U7" s="26">
        <v>2</v>
      </c>
      <c r="V7" s="27">
        <f>IF($H$7=AO16,AP17,"")</f>
        <v>0.73067226890756298</v>
      </c>
      <c r="W7" s="48">
        <f>IF($H$7=AO16,AP18,"")</f>
        <v>-2.2287058823529406</v>
      </c>
      <c r="X7" s="17">
        <v>7</v>
      </c>
      <c r="Y7" s="52">
        <v>13.23</v>
      </c>
      <c r="Z7" s="76">
        <v>7</v>
      </c>
      <c r="AA7" s="77">
        <v>8</v>
      </c>
      <c r="AB7" s="75">
        <f t="shared" si="0"/>
        <v>0.52500000000000036</v>
      </c>
      <c r="AC7" s="53" t="str">
        <f t="shared" si="1"/>
        <v/>
      </c>
      <c r="AD7" s="53" t="str">
        <f t="shared" si="2"/>
        <v/>
      </c>
      <c r="AE7" s="53" t="str">
        <f t="shared" si="3"/>
        <v/>
      </c>
      <c r="AF7" s="13" t="str">
        <f t="shared" si="4"/>
        <v/>
      </c>
      <c r="AG7" s="14">
        <v>20</v>
      </c>
      <c r="AH7" s="15">
        <v>22.495999999999999</v>
      </c>
      <c r="AI7" s="13">
        <f t="shared" si="5"/>
        <v>22.495999999999999</v>
      </c>
      <c r="AJ7" s="22">
        <v>1.5</v>
      </c>
      <c r="AK7" s="23">
        <v>7.5949999999999998</v>
      </c>
      <c r="AL7" s="24">
        <v>4.1440000000000001</v>
      </c>
      <c r="AM7" s="25">
        <v>11.76</v>
      </c>
      <c r="AN7" s="24">
        <v>7.1779999999999999</v>
      </c>
      <c r="AO7" s="135">
        <v>0.89</v>
      </c>
      <c r="AP7" s="137"/>
    </row>
    <row r="8" spans="2:42" ht="16.5" thickBot="1" x14ac:dyDescent="0.3">
      <c r="B8" s="116" t="s">
        <v>28</v>
      </c>
      <c r="C8" s="117">
        <f>(60*C5*C6)/(1000*C7)</f>
        <v>18.75</v>
      </c>
      <c r="D8" s="152" t="s">
        <v>48</v>
      </c>
      <c r="E8" s="153"/>
      <c r="F8" s="153"/>
      <c r="G8" s="153"/>
      <c r="H8" s="153" t="s">
        <v>49</v>
      </c>
      <c r="I8" s="153"/>
      <c r="J8" s="153"/>
      <c r="K8" s="171"/>
      <c r="R8" s="122"/>
      <c r="U8" s="2" t="s">
        <v>33</v>
      </c>
      <c r="V8" s="29">
        <f>SUM(V2:V7)</f>
        <v>0.73067226890756298</v>
      </c>
      <c r="W8" s="49">
        <f>SUM(W2:W7)</f>
        <v>-2.2287058823529406</v>
      </c>
      <c r="X8" s="17">
        <v>8</v>
      </c>
      <c r="Y8" s="52">
        <v>12.705</v>
      </c>
      <c r="Z8" s="76">
        <v>8</v>
      </c>
      <c r="AA8" s="77">
        <v>9</v>
      </c>
      <c r="AB8" s="75">
        <f t="shared" si="0"/>
        <v>0.49000000000000021</v>
      </c>
      <c r="AC8" s="53" t="str">
        <f t="shared" si="1"/>
        <v/>
      </c>
      <c r="AD8" s="53" t="str">
        <f t="shared" si="2"/>
        <v/>
      </c>
      <c r="AE8" s="53" t="str">
        <f t="shared" si="3"/>
        <v/>
      </c>
      <c r="AF8" s="13" t="str">
        <f t="shared" si="4"/>
        <v/>
      </c>
      <c r="AG8" s="14">
        <v>15</v>
      </c>
      <c r="AH8" s="15">
        <v>20.867999999999999</v>
      </c>
      <c r="AI8" s="13" t="str">
        <f t="shared" si="5"/>
        <v/>
      </c>
      <c r="AJ8" s="26">
        <v>2</v>
      </c>
      <c r="AK8" s="30">
        <v>7</v>
      </c>
      <c r="AL8" s="31">
        <v>2.8860000000000001</v>
      </c>
      <c r="AM8" s="32">
        <v>11.76</v>
      </c>
      <c r="AN8" s="31">
        <v>6.3639999999999999</v>
      </c>
      <c r="AO8" s="57" t="s">
        <v>10</v>
      </c>
      <c r="AP8" s="58">
        <f>(AL5-AN5)/(AK5-AM5)</f>
        <v>0.71956782713085232</v>
      </c>
    </row>
    <row r="9" spans="2:42" ht="16.5" thickBot="1" x14ac:dyDescent="0.3">
      <c r="B9" s="141" t="s">
        <v>29</v>
      </c>
      <c r="C9" s="142"/>
      <c r="D9" s="145"/>
      <c r="E9" s="146"/>
      <c r="F9" s="146"/>
      <c r="G9" s="146"/>
      <c r="H9" s="146"/>
      <c r="I9" s="146"/>
      <c r="J9" s="146"/>
      <c r="K9" s="147"/>
      <c r="R9" s="122"/>
      <c r="U9" s="2" t="s">
        <v>15</v>
      </c>
      <c r="V9" s="12" t="str">
        <f>IF($H$5=AO19,AP20,"")</f>
        <v/>
      </c>
      <c r="W9" s="16" t="str">
        <f>IF($H$5=AO19,AP21,"")</f>
        <v/>
      </c>
      <c r="X9" s="17">
        <v>9</v>
      </c>
      <c r="Y9" s="52">
        <v>12.215</v>
      </c>
      <c r="Z9" s="76">
        <v>9</v>
      </c>
      <c r="AA9" s="77">
        <v>10</v>
      </c>
      <c r="AB9" s="75">
        <f t="shared" si="0"/>
        <v>0.45500000000000007</v>
      </c>
      <c r="AC9" s="53" t="str">
        <f t="shared" si="1"/>
        <v/>
      </c>
      <c r="AD9" s="53" t="str">
        <f t="shared" si="2"/>
        <v/>
      </c>
      <c r="AE9" s="53" t="str">
        <f t="shared" si="3"/>
        <v/>
      </c>
      <c r="AF9" s="13" t="str">
        <f t="shared" si="4"/>
        <v/>
      </c>
      <c r="AG9" s="14">
        <v>10</v>
      </c>
      <c r="AH9" s="15">
        <v>18.463000000000001</v>
      </c>
      <c r="AI9" s="13" t="str">
        <f t="shared" si="5"/>
        <v/>
      </c>
      <c r="AJ9" s="2" t="s">
        <v>15</v>
      </c>
      <c r="AK9" s="20">
        <v>26.11</v>
      </c>
      <c r="AL9" s="33">
        <v>5.2539999999999996</v>
      </c>
      <c r="AM9" s="20">
        <v>21.84</v>
      </c>
      <c r="AN9" s="33">
        <v>8.2509999999999994</v>
      </c>
      <c r="AO9" s="21" t="s">
        <v>11</v>
      </c>
      <c r="AP9" s="9">
        <f>AN5-AP8*AM5</f>
        <v>0.23288235294117676</v>
      </c>
    </row>
    <row r="10" spans="2:42" ht="16.5" thickBot="1" x14ac:dyDescent="0.3">
      <c r="B10" s="141" t="s">
        <v>30</v>
      </c>
      <c r="C10" s="142"/>
      <c r="D10" s="143">
        <v>125</v>
      </c>
      <c r="E10" s="143"/>
      <c r="F10" s="143"/>
      <c r="G10" s="143"/>
      <c r="H10" s="143"/>
      <c r="I10" s="143"/>
      <c r="J10" s="143"/>
      <c r="K10" s="144"/>
      <c r="U10" s="22" t="s">
        <v>18</v>
      </c>
      <c r="V10" s="12" t="str">
        <f>IF($H$5=AO22,AP23,"")</f>
        <v/>
      </c>
      <c r="W10" s="16" t="str">
        <f>IF($H$5=AO22,AP24,"")</f>
        <v/>
      </c>
      <c r="X10" s="17">
        <v>10</v>
      </c>
      <c r="Y10" s="52">
        <v>11.76</v>
      </c>
      <c r="Z10" s="76">
        <v>10</v>
      </c>
      <c r="AA10" s="77">
        <v>15</v>
      </c>
      <c r="AB10" s="75">
        <f t="shared" si="0"/>
        <v>1.5749999999999993</v>
      </c>
      <c r="AC10" s="53" t="str">
        <f t="shared" si="1"/>
        <v/>
      </c>
      <c r="AD10" s="53" t="str">
        <f t="shared" si="2"/>
        <v/>
      </c>
      <c r="AE10" s="53" t="str">
        <f t="shared" si="3"/>
        <v/>
      </c>
      <c r="AF10" s="13" t="str">
        <f t="shared" si="4"/>
        <v/>
      </c>
      <c r="AG10" s="14">
        <v>9</v>
      </c>
      <c r="AH10" s="15">
        <v>17.908000000000001</v>
      </c>
      <c r="AI10" s="13" t="str">
        <f t="shared" si="5"/>
        <v/>
      </c>
      <c r="AJ10" s="22" t="s">
        <v>16</v>
      </c>
      <c r="AK10" s="25">
        <v>27.475000000000001</v>
      </c>
      <c r="AL10" s="24">
        <v>5.2539999999999996</v>
      </c>
      <c r="AM10" s="25">
        <v>23.24</v>
      </c>
      <c r="AN10" s="24">
        <v>8.2509999999999994</v>
      </c>
      <c r="AO10" s="135">
        <v>1</v>
      </c>
      <c r="AP10" s="137"/>
    </row>
    <row r="11" spans="2:42" ht="15.75" thickBot="1" x14ac:dyDescent="0.3">
      <c r="U11" s="26" t="s">
        <v>17</v>
      </c>
      <c r="V11" s="27">
        <f>IF($H$5=AO25,AP26,"")</f>
        <v>-0.7018735362997659</v>
      </c>
      <c r="W11" s="48">
        <f>IF($H$5=AO25,AP27,"")</f>
        <v>25.692557377049184</v>
      </c>
      <c r="X11" s="17">
        <v>15</v>
      </c>
      <c r="Y11" s="52">
        <v>10.185</v>
      </c>
      <c r="Z11" s="76">
        <v>15</v>
      </c>
      <c r="AA11" s="77">
        <v>20</v>
      </c>
      <c r="AB11" s="75">
        <f t="shared" si="0"/>
        <v>1.0850000000000009</v>
      </c>
      <c r="AC11" s="53">
        <f t="shared" si="1"/>
        <v>1.0850000000000009</v>
      </c>
      <c r="AD11" s="53">
        <f t="shared" si="2"/>
        <v>5</v>
      </c>
      <c r="AE11" s="53">
        <f t="shared" si="3"/>
        <v>3.75</v>
      </c>
      <c r="AF11" s="13">
        <f t="shared" si="4"/>
        <v>10.185</v>
      </c>
      <c r="AG11" s="14">
        <v>8</v>
      </c>
      <c r="AH11" s="15">
        <v>17.279000000000003</v>
      </c>
      <c r="AI11" s="13" t="str">
        <f t="shared" si="5"/>
        <v/>
      </c>
      <c r="AJ11" s="34" t="s">
        <v>17</v>
      </c>
      <c r="AK11" s="32">
        <v>29.12</v>
      </c>
      <c r="AL11" s="31">
        <v>5.2539999999999996</v>
      </c>
      <c r="AM11" s="32">
        <v>24.85</v>
      </c>
      <c r="AN11" s="31">
        <v>8.2509999999999994</v>
      </c>
      <c r="AO11" s="57" t="s">
        <v>10</v>
      </c>
      <c r="AP11" s="58">
        <f>(AL6-AN6)/(AK6-AM6)</f>
        <v>0.71956782713085232</v>
      </c>
    </row>
    <row r="12" spans="2:42" ht="15.75" thickBot="1" x14ac:dyDescent="0.3">
      <c r="U12" s="28"/>
      <c r="V12" s="29">
        <f>SUM(V9:V11)</f>
        <v>-0.7018735362997659</v>
      </c>
      <c r="W12" s="49">
        <f>SUM(W9:W11)</f>
        <v>25.692557377049184</v>
      </c>
      <c r="X12" s="17">
        <v>20</v>
      </c>
      <c r="Y12" s="52">
        <v>9.1</v>
      </c>
      <c r="Z12" s="76">
        <v>20</v>
      </c>
      <c r="AA12" s="77">
        <v>25</v>
      </c>
      <c r="AB12" s="75">
        <f t="shared" si="0"/>
        <v>0.83999999999999986</v>
      </c>
      <c r="AC12" s="53" t="str">
        <f t="shared" si="1"/>
        <v/>
      </c>
      <c r="AD12" s="53" t="str">
        <f t="shared" si="2"/>
        <v/>
      </c>
      <c r="AE12" s="53" t="str">
        <f t="shared" si="3"/>
        <v/>
      </c>
      <c r="AF12" s="13" t="str">
        <f t="shared" si="4"/>
        <v/>
      </c>
      <c r="AG12" s="14">
        <v>7</v>
      </c>
      <c r="AH12" s="15">
        <v>16.576000000000001</v>
      </c>
      <c r="AI12" s="13" t="str">
        <f t="shared" si="5"/>
        <v/>
      </c>
      <c r="AJ12" s="35"/>
      <c r="AK12" s="35"/>
      <c r="AL12" s="35"/>
      <c r="AM12" s="35"/>
      <c r="AN12" s="35"/>
      <c r="AO12" s="21" t="s">
        <v>11</v>
      </c>
      <c r="AP12" s="9">
        <f>AN6-AP11*AM6</f>
        <v>-0.21111764705882408</v>
      </c>
    </row>
    <row r="13" spans="2:42" ht="15.75" thickBot="1" x14ac:dyDescent="0.3">
      <c r="U13" s="35"/>
      <c r="V13" s="35"/>
      <c r="W13" s="35"/>
      <c r="X13" s="17">
        <v>25</v>
      </c>
      <c r="Y13" s="52">
        <v>8.26</v>
      </c>
      <c r="Z13" s="76">
        <v>25</v>
      </c>
      <c r="AA13" s="77">
        <v>30</v>
      </c>
      <c r="AB13" s="75">
        <f t="shared" si="0"/>
        <v>0.66500000000000004</v>
      </c>
      <c r="AC13" s="53" t="str">
        <f t="shared" si="1"/>
        <v/>
      </c>
      <c r="AD13" s="53" t="str">
        <f t="shared" si="2"/>
        <v/>
      </c>
      <c r="AE13" s="53" t="str">
        <f>IF(AND($C$8&gt;Z13,$C$8&lt;=AA13),($C$8-Z13),"")</f>
        <v/>
      </c>
      <c r="AF13" s="13" t="str">
        <f t="shared" si="4"/>
        <v/>
      </c>
      <c r="AG13" s="46">
        <v>6</v>
      </c>
      <c r="AH13" s="37">
        <v>15.651000000000002</v>
      </c>
      <c r="AI13" s="38" t="str">
        <f t="shared" si="5"/>
        <v/>
      </c>
      <c r="AJ13" s="35"/>
      <c r="AK13" s="35"/>
      <c r="AL13" s="35"/>
      <c r="AM13" s="35"/>
      <c r="AN13" s="35"/>
      <c r="AO13" s="135">
        <v>1.5</v>
      </c>
      <c r="AP13" s="137"/>
    </row>
    <row r="14" spans="2:42" x14ac:dyDescent="0.25">
      <c r="U14" s="35"/>
      <c r="V14" s="35"/>
      <c r="W14" s="35"/>
      <c r="X14" s="17">
        <v>30</v>
      </c>
      <c r="Y14" s="52">
        <v>7.5949999999999998</v>
      </c>
      <c r="Z14" s="76">
        <v>30</v>
      </c>
      <c r="AA14" s="77">
        <v>40</v>
      </c>
      <c r="AB14" s="75">
        <f t="shared" si="0"/>
        <v>1.1549999999999994</v>
      </c>
      <c r="AC14" s="53" t="str">
        <f t="shared" si="1"/>
        <v/>
      </c>
      <c r="AD14" s="53" t="str">
        <f t="shared" si="2"/>
        <v/>
      </c>
      <c r="AE14" s="53" t="str">
        <f t="shared" si="3"/>
        <v/>
      </c>
      <c r="AF14" s="13" t="str">
        <f t="shared" si="4"/>
        <v/>
      </c>
      <c r="AI14" s="35"/>
      <c r="AJ14" s="35"/>
      <c r="AM14" s="35"/>
      <c r="AN14" s="35"/>
      <c r="AO14" s="57" t="s">
        <v>10</v>
      </c>
      <c r="AP14" s="58">
        <f>(AL7-AN7)/(AK7-AM7)</f>
        <v>0.72845138055222081</v>
      </c>
    </row>
    <row r="15" spans="2:42" ht="15.75" thickBot="1" x14ac:dyDescent="0.3">
      <c r="U15" s="35"/>
      <c r="V15" s="35"/>
      <c r="W15" s="35"/>
      <c r="X15" s="17">
        <v>40</v>
      </c>
      <c r="Y15" s="52">
        <v>6.44</v>
      </c>
      <c r="Z15" s="76">
        <v>40</v>
      </c>
      <c r="AA15" s="77">
        <v>50</v>
      </c>
      <c r="AB15" s="75">
        <f t="shared" si="0"/>
        <v>0.94500000000000028</v>
      </c>
      <c r="AC15" s="53" t="str">
        <f t="shared" si="1"/>
        <v/>
      </c>
      <c r="AD15" s="53" t="str">
        <f t="shared" si="2"/>
        <v/>
      </c>
      <c r="AE15" s="53" t="str">
        <f t="shared" si="3"/>
        <v/>
      </c>
      <c r="AF15" s="13" t="str">
        <f t="shared" si="4"/>
        <v/>
      </c>
      <c r="AI15" s="35"/>
      <c r="AJ15" s="35"/>
      <c r="AM15" s="35"/>
      <c r="AN15" s="35"/>
      <c r="AO15" s="21" t="s">
        <v>11</v>
      </c>
      <c r="AP15" s="9">
        <f>AN7-AP14*AM7</f>
        <v>-1.3885882352941161</v>
      </c>
    </row>
    <row r="16" spans="2:42" ht="15.75" thickBot="1" x14ac:dyDescent="0.3">
      <c r="U16" s="35"/>
      <c r="V16" s="35"/>
      <c r="W16" s="35"/>
      <c r="X16" s="17">
        <v>50</v>
      </c>
      <c r="Y16" s="24">
        <v>5.4950000000000001</v>
      </c>
      <c r="Z16" s="76">
        <v>50</v>
      </c>
      <c r="AA16" s="77">
        <v>60</v>
      </c>
      <c r="AB16" s="75">
        <f t="shared" si="0"/>
        <v>0.76999999999999957</v>
      </c>
      <c r="AC16" s="53" t="str">
        <f t="shared" si="1"/>
        <v/>
      </c>
      <c r="AD16" s="53" t="str">
        <f t="shared" si="2"/>
        <v/>
      </c>
      <c r="AE16" s="53" t="str">
        <f t="shared" si="3"/>
        <v/>
      </c>
      <c r="AF16" s="13" t="str">
        <f t="shared" si="4"/>
        <v/>
      </c>
      <c r="AI16" s="35"/>
      <c r="AJ16" s="35"/>
      <c r="AM16" s="35"/>
      <c r="AN16" s="35"/>
      <c r="AO16" s="135">
        <v>2</v>
      </c>
      <c r="AP16" s="137"/>
    </row>
    <row r="17" spans="15:42" x14ac:dyDescent="0.25">
      <c r="U17" s="35"/>
      <c r="V17" s="35"/>
      <c r="W17" s="35"/>
      <c r="X17" s="17">
        <v>60</v>
      </c>
      <c r="Y17" s="24">
        <v>4.7250000000000005</v>
      </c>
      <c r="Z17" s="76">
        <v>60</v>
      </c>
      <c r="AA17" s="77">
        <v>70</v>
      </c>
      <c r="AB17" s="75">
        <f t="shared" si="0"/>
        <v>0.5600000000000005</v>
      </c>
      <c r="AC17" s="53" t="str">
        <f t="shared" si="1"/>
        <v/>
      </c>
      <c r="AD17" s="53" t="str">
        <f t="shared" si="2"/>
        <v/>
      </c>
      <c r="AE17" s="53" t="str">
        <f t="shared" si="3"/>
        <v/>
      </c>
      <c r="AF17" s="13" t="str">
        <f t="shared" si="4"/>
        <v/>
      </c>
      <c r="AI17" s="35"/>
      <c r="AJ17" s="35"/>
      <c r="AM17" s="35"/>
      <c r="AN17" s="35"/>
      <c r="AO17" s="57" t="s">
        <v>10</v>
      </c>
      <c r="AP17" s="58">
        <f>(AL8-AN8)/(AK8-AM8)</f>
        <v>0.73067226890756298</v>
      </c>
    </row>
    <row r="18" spans="15:42" ht="15.75" thickBot="1" x14ac:dyDescent="0.3">
      <c r="U18" s="35"/>
      <c r="V18" s="35"/>
      <c r="W18" s="35"/>
      <c r="X18" s="36">
        <v>70</v>
      </c>
      <c r="Y18" s="31">
        <v>4.165</v>
      </c>
      <c r="Z18" s="44"/>
      <c r="AA18" s="56">
        <f>SUM(AC2:AC17)</f>
        <v>1.0850000000000009</v>
      </c>
      <c r="AB18" s="56">
        <f>SUM(AD2:AD17)</f>
        <v>5</v>
      </c>
      <c r="AC18" s="56">
        <f>SUM(AE2:AE17)</f>
        <v>3.75</v>
      </c>
      <c r="AD18" s="56">
        <f>SUM(AF2:AF17)</f>
        <v>10.185</v>
      </c>
      <c r="AE18" s="78">
        <f>AC18*AA18/AB18</f>
        <v>0.81375000000000064</v>
      </c>
      <c r="AF18" s="79">
        <f>AD18-AE18</f>
        <v>9.3712499999999999</v>
      </c>
      <c r="AM18" s="35"/>
      <c r="AN18" s="35"/>
      <c r="AO18" s="21" t="s">
        <v>11</v>
      </c>
      <c r="AP18" s="9">
        <v>-2.2287058823529406</v>
      </c>
    </row>
    <row r="19" spans="15:42" ht="15.75" thickBot="1" x14ac:dyDescent="0.3">
      <c r="T19" s="135" t="s">
        <v>30</v>
      </c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7"/>
      <c r="AO19" s="135" t="s">
        <v>15</v>
      </c>
      <c r="AP19" s="137"/>
    </row>
    <row r="20" spans="15:42" ht="15.75" thickBot="1" x14ac:dyDescent="0.3">
      <c r="T20" s="135" t="s">
        <v>39</v>
      </c>
      <c r="U20" s="136"/>
      <c r="V20" s="136"/>
      <c r="W20" s="136"/>
      <c r="X20" s="136"/>
      <c r="Y20" s="136"/>
      <c r="Z20" s="136"/>
      <c r="AA20" s="137"/>
      <c r="AB20" s="135" t="s">
        <v>47</v>
      </c>
      <c r="AC20" s="136"/>
      <c r="AD20" s="136"/>
      <c r="AE20" s="136"/>
      <c r="AF20" s="136"/>
      <c r="AG20" s="137"/>
      <c r="AH20" s="80"/>
      <c r="AI20" s="81" t="s">
        <v>12</v>
      </c>
      <c r="AJ20" s="81" t="s">
        <v>13</v>
      </c>
      <c r="AK20" s="81" t="s">
        <v>35</v>
      </c>
      <c r="AL20" s="81" t="s">
        <v>36</v>
      </c>
      <c r="AM20" s="81" t="s">
        <v>10</v>
      </c>
      <c r="AN20" s="82" t="s">
        <v>11</v>
      </c>
      <c r="AO20" s="57" t="s">
        <v>10</v>
      </c>
      <c r="AP20" s="58">
        <f>(AL9-AN9)/(AK9-AM9)</f>
        <v>-0.7018735362997659</v>
      </c>
    </row>
    <row r="21" spans="15:42" ht="15.75" thickBot="1" x14ac:dyDescent="0.3">
      <c r="O21" s="134"/>
      <c r="P21" s="134"/>
      <c r="T21" s="135" t="s">
        <v>37</v>
      </c>
      <c r="U21" s="136"/>
      <c r="V21" s="136"/>
      <c r="W21" s="136"/>
      <c r="X21" s="137"/>
      <c r="Y21" s="135" t="s">
        <v>38</v>
      </c>
      <c r="Z21" s="136"/>
      <c r="AA21" s="137"/>
      <c r="AB21" s="135" t="s">
        <v>38</v>
      </c>
      <c r="AC21" s="136"/>
      <c r="AD21" s="137"/>
      <c r="AE21" s="136" t="s">
        <v>37</v>
      </c>
      <c r="AF21" s="136"/>
      <c r="AG21" s="137"/>
      <c r="AH21" s="83">
        <v>100</v>
      </c>
      <c r="AI21" s="84">
        <v>15.855</v>
      </c>
      <c r="AJ21" s="85">
        <v>14.170999999999999</v>
      </c>
      <c r="AK21" s="85">
        <v>25.76</v>
      </c>
      <c r="AL21" s="85">
        <v>16.094999999999999</v>
      </c>
      <c r="AM21" s="85">
        <f>(AL21-AL22)/(AI21-AI22)</f>
        <v>-0.31489361702127711</v>
      </c>
      <c r="AN21" s="86">
        <f>AL21-AM21*AI21</f>
        <v>21.087638297872346</v>
      </c>
      <c r="AO21" s="21" t="s">
        <v>11</v>
      </c>
      <c r="AP21" s="9">
        <f>AN9-AP20*AM9</f>
        <v>23.579918032786885</v>
      </c>
    </row>
    <row r="22" spans="15:42" ht="15.75" thickBot="1" x14ac:dyDescent="0.3">
      <c r="T22" s="66">
        <v>6</v>
      </c>
      <c r="U22" s="67">
        <v>60</v>
      </c>
      <c r="V22" s="87">
        <f>SUM(W22:$W$32)</f>
        <v>13.245999999999997</v>
      </c>
      <c r="W22" s="68">
        <f t="shared" ref="W22:W32" si="6">AH2-AH3</f>
        <v>1.0359999999999943</v>
      </c>
      <c r="X22" s="88" t="str">
        <f t="shared" ref="X22:X32" si="7">IF($H$6=U22,V22,"")</f>
        <v/>
      </c>
      <c r="Y22" s="73">
        <v>100</v>
      </c>
      <c r="Z22" s="87">
        <v>15.855</v>
      </c>
      <c r="AA22" s="89" t="str">
        <f t="shared" ref="AA22:AA30" si="8">IF($D$10=Y22,Z22,"")</f>
        <v/>
      </c>
      <c r="AB22" s="90">
        <v>100</v>
      </c>
      <c r="AC22" s="87">
        <v>14.170999999999999</v>
      </c>
      <c r="AD22" s="88" t="str">
        <f t="shared" ref="AD22:AD30" si="9">IF($D$10=AB22,AC22,"")</f>
        <v/>
      </c>
      <c r="AE22" s="91">
        <f t="shared" ref="AE22:AE30" si="10">$AJ$25-AC22</f>
        <v>0.44400000000000084</v>
      </c>
      <c r="AF22" s="87">
        <f t="shared" ref="AF22:AF30" si="11">$AG$33*AE22</f>
        <v>1.1546749226006212</v>
      </c>
      <c r="AG22" s="89" t="str">
        <f t="shared" ref="AG22:AG30" si="12">IF($D$10=AB22,AF22,"")</f>
        <v/>
      </c>
      <c r="AH22" s="92">
        <v>200</v>
      </c>
      <c r="AI22" s="93">
        <v>14.21</v>
      </c>
      <c r="AJ22" s="75">
        <v>13.579000000000001</v>
      </c>
      <c r="AK22" s="75">
        <v>27.37</v>
      </c>
      <c r="AL22" s="75">
        <v>16.613</v>
      </c>
      <c r="AM22" s="75"/>
      <c r="AN22" s="94"/>
      <c r="AO22" s="135" t="s">
        <v>16</v>
      </c>
      <c r="AP22" s="137"/>
    </row>
    <row r="23" spans="15:42" x14ac:dyDescent="0.25">
      <c r="T23" s="17">
        <v>6</v>
      </c>
      <c r="U23" s="65">
        <v>50</v>
      </c>
      <c r="V23" s="75">
        <f>SUM(W23:$W$32)</f>
        <v>12.210000000000003</v>
      </c>
      <c r="W23" s="15">
        <f t="shared" si="6"/>
        <v>1.3690000000000033</v>
      </c>
      <c r="X23" s="95" t="str">
        <f t="shared" si="7"/>
        <v/>
      </c>
      <c r="Y23" s="76">
        <v>125</v>
      </c>
      <c r="Z23" s="75">
        <f>(Z22-Z24)/2+Z24</f>
        <v>15.443750000000001</v>
      </c>
      <c r="AA23" s="96">
        <f t="shared" si="8"/>
        <v>15.443750000000001</v>
      </c>
      <c r="AB23" s="97">
        <v>125</v>
      </c>
      <c r="AC23" s="75">
        <f>(AC22-AC24)/2+AC24</f>
        <v>14.023</v>
      </c>
      <c r="AD23" s="95">
        <f t="shared" si="9"/>
        <v>14.023</v>
      </c>
      <c r="AE23" s="43">
        <f t="shared" si="10"/>
        <v>0.59200000000000053</v>
      </c>
      <c r="AF23" s="75">
        <f t="shared" si="11"/>
        <v>1.5395665634674933</v>
      </c>
      <c r="AG23" s="96">
        <f t="shared" si="12"/>
        <v>1.5395665634674933</v>
      </c>
      <c r="AH23" s="92">
        <v>250</v>
      </c>
      <c r="AI23" s="93">
        <v>13.23</v>
      </c>
      <c r="AJ23" s="75">
        <v>13.246</v>
      </c>
      <c r="AK23" s="75"/>
      <c r="AL23" s="75"/>
      <c r="AM23" s="75"/>
      <c r="AN23" s="94"/>
      <c r="AO23" s="57" t="s">
        <v>10</v>
      </c>
      <c r="AP23" s="58">
        <f>(AL10-AN10)/(AK10-AM10)</f>
        <v>-0.70767414403777984</v>
      </c>
    </row>
    <row r="24" spans="15:42" ht="15.75" thickBot="1" x14ac:dyDescent="0.3">
      <c r="T24" s="17">
        <v>6</v>
      </c>
      <c r="U24" s="65">
        <v>40</v>
      </c>
      <c r="V24" s="75">
        <f>SUM(W24:$W$32)</f>
        <v>10.840999999999999</v>
      </c>
      <c r="W24" s="15">
        <f t="shared" si="6"/>
        <v>1.7020000000000017</v>
      </c>
      <c r="X24" s="95" t="str">
        <f t="shared" si="7"/>
        <v/>
      </c>
      <c r="Y24" s="76">
        <v>150</v>
      </c>
      <c r="Z24" s="75">
        <f>(Z22-Z26)/2+Z26</f>
        <v>15.032500000000001</v>
      </c>
      <c r="AA24" s="96" t="str">
        <f t="shared" si="8"/>
        <v/>
      </c>
      <c r="AB24" s="97">
        <v>150</v>
      </c>
      <c r="AC24" s="75">
        <f>(AC22-AC26)/2+AC26</f>
        <v>13.875</v>
      </c>
      <c r="AD24" s="95" t="str">
        <f t="shared" si="9"/>
        <v/>
      </c>
      <c r="AE24" s="43">
        <f t="shared" si="10"/>
        <v>0.74000000000000021</v>
      </c>
      <c r="AF24" s="75">
        <f t="shared" si="11"/>
        <v>1.9244582043343654</v>
      </c>
      <c r="AG24" s="96" t="str">
        <f t="shared" si="12"/>
        <v/>
      </c>
      <c r="AH24" s="92">
        <v>300</v>
      </c>
      <c r="AI24" s="93">
        <v>12.425000000000001</v>
      </c>
      <c r="AJ24" s="75">
        <v>13</v>
      </c>
      <c r="AK24" s="75"/>
      <c r="AL24" s="75"/>
      <c r="AM24" s="75"/>
      <c r="AN24" s="94"/>
      <c r="AO24" s="21" t="s">
        <v>11</v>
      </c>
      <c r="AP24" s="9">
        <f>AN10-AP23*AM10</f>
        <v>24.697347107437999</v>
      </c>
    </row>
    <row r="25" spans="15:42" ht="15.75" thickBot="1" x14ac:dyDescent="0.3">
      <c r="T25" s="17">
        <v>6</v>
      </c>
      <c r="U25" s="65">
        <v>30</v>
      </c>
      <c r="V25" s="75">
        <f>SUM(W25:$W$32)</f>
        <v>9.1389999999999976</v>
      </c>
      <c r="W25" s="15">
        <f t="shared" si="6"/>
        <v>1.0359999999999978</v>
      </c>
      <c r="X25" s="95" t="str">
        <f t="shared" si="7"/>
        <v/>
      </c>
      <c r="Y25" s="76">
        <v>175</v>
      </c>
      <c r="Z25" s="75">
        <f>(Z24-Z26)/2+Z26</f>
        <v>14.62125</v>
      </c>
      <c r="AA25" s="96" t="str">
        <f t="shared" si="8"/>
        <v/>
      </c>
      <c r="AB25" s="97">
        <v>175</v>
      </c>
      <c r="AC25" s="75">
        <f>(AC24-AC26)/2+AC26</f>
        <v>13.727</v>
      </c>
      <c r="AD25" s="95" t="str">
        <f t="shared" si="9"/>
        <v/>
      </c>
      <c r="AE25" s="43">
        <f t="shared" si="10"/>
        <v>0.8879999999999999</v>
      </c>
      <c r="AF25" s="75">
        <f t="shared" si="11"/>
        <v>2.3093498452012375</v>
      </c>
      <c r="AG25" s="96" t="str">
        <f t="shared" si="12"/>
        <v/>
      </c>
      <c r="AH25" s="98" t="s">
        <v>34</v>
      </c>
      <c r="AI25" s="99"/>
      <c r="AJ25" s="100">
        <v>14.615</v>
      </c>
      <c r="AK25" s="100"/>
      <c r="AL25" s="100"/>
      <c r="AM25" s="100"/>
      <c r="AN25" s="45"/>
      <c r="AO25" s="135" t="s">
        <v>23</v>
      </c>
      <c r="AP25" s="137"/>
    </row>
    <row r="26" spans="15:42" ht="15.75" thickBot="1" x14ac:dyDescent="0.3">
      <c r="T26" s="17">
        <v>6</v>
      </c>
      <c r="U26" s="65">
        <v>25</v>
      </c>
      <c r="V26" s="75">
        <f>SUM(W26:$W$32)</f>
        <v>8.1029999999999998</v>
      </c>
      <c r="W26" s="15">
        <f t="shared" si="6"/>
        <v>1.2580000000000027</v>
      </c>
      <c r="X26" s="95" t="str">
        <f t="shared" si="7"/>
        <v/>
      </c>
      <c r="Y26" s="76">
        <v>200</v>
      </c>
      <c r="Z26" s="75">
        <v>14.21</v>
      </c>
      <c r="AA26" s="96" t="str">
        <f t="shared" si="8"/>
        <v/>
      </c>
      <c r="AB26" s="97">
        <v>200</v>
      </c>
      <c r="AC26" s="75">
        <v>13.579000000000001</v>
      </c>
      <c r="AD26" s="95" t="str">
        <f t="shared" si="9"/>
        <v/>
      </c>
      <c r="AE26" s="43">
        <f t="shared" si="10"/>
        <v>1.0359999999999996</v>
      </c>
      <c r="AF26" s="75">
        <f t="shared" si="11"/>
        <v>2.6942414860681096</v>
      </c>
      <c r="AG26" s="96" t="str">
        <f t="shared" si="12"/>
        <v/>
      </c>
      <c r="AH26" s="135" t="s">
        <v>30</v>
      </c>
      <c r="AI26" s="137"/>
      <c r="AJ26" s="135" t="s">
        <v>22</v>
      </c>
      <c r="AK26" s="137"/>
      <c r="AL26" s="135" t="s">
        <v>30</v>
      </c>
      <c r="AM26" s="137"/>
      <c r="AO26" s="57" t="s">
        <v>10</v>
      </c>
      <c r="AP26" s="58">
        <f>(AL11-AN11)/(AK11-AM11)</f>
        <v>-0.7018735362997659</v>
      </c>
    </row>
    <row r="27" spans="15:42" ht="15.75" thickBot="1" x14ac:dyDescent="0.3">
      <c r="T27" s="17">
        <v>6</v>
      </c>
      <c r="U27" s="65">
        <v>20</v>
      </c>
      <c r="V27" s="75">
        <f>SUM(W27:$W$32)</f>
        <v>6.8449999999999971</v>
      </c>
      <c r="W27" s="15">
        <f t="shared" si="6"/>
        <v>1.6280000000000001</v>
      </c>
      <c r="X27" s="95">
        <f t="shared" si="7"/>
        <v>6.8449999999999971</v>
      </c>
      <c r="Y27" s="101">
        <v>225</v>
      </c>
      <c r="Z27" s="75">
        <f>(Z26-Z28)/2+Z28</f>
        <v>13.72</v>
      </c>
      <c r="AA27" s="96" t="str">
        <f t="shared" si="8"/>
        <v/>
      </c>
      <c r="AB27" s="102">
        <v>225</v>
      </c>
      <c r="AC27" s="75">
        <f>(AC26-AC28)/2+AC28</f>
        <v>13.412500000000001</v>
      </c>
      <c r="AD27" s="95" t="str">
        <f t="shared" si="9"/>
        <v/>
      </c>
      <c r="AE27" s="43">
        <f t="shared" si="10"/>
        <v>1.2024999999999988</v>
      </c>
      <c r="AF27" s="75">
        <f t="shared" si="11"/>
        <v>3.1272445820433399</v>
      </c>
      <c r="AG27" s="96" t="str">
        <f t="shared" si="12"/>
        <v/>
      </c>
      <c r="AH27" s="62" t="s">
        <v>8</v>
      </c>
      <c r="AI27" s="63" t="s">
        <v>9</v>
      </c>
      <c r="AJ27" s="40" t="s">
        <v>8</v>
      </c>
      <c r="AK27" s="41" t="s">
        <v>9</v>
      </c>
      <c r="AL27" s="62" t="s">
        <v>8</v>
      </c>
      <c r="AM27" s="63" t="s">
        <v>9</v>
      </c>
      <c r="AO27" s="21" t="s">
        <v>11</v>
      </c>
      <c r="AP27" s="9">
        <f>AN11-AP26*AM11</f>
        <v>25.692557377049184</v>
      </c>
    </row>
    <row r="28" spans="15:42" x14ac:dyDescent="0.25">
      <c r="T28" s="17">
        <v>6</v>
      </c>
      <c r="U28" s="65">
        <v>15</v>
      </c>
      <c r="V28" s="75">
        <f>SUM(W28:$W$32)</f>
        <v>5.216999999999997</v>
      </c>
      <c r="W28" s="15">
        <f t="shared" si="6"/>
        <v>2.4049999999999976</v>
      </c>
      <c r="X28" s="95" t="str">
        <f t="shared" si="7"/>
        <v/>
      </c>
      <c r="Y28" s="76">
        <v>250</v>
      </c>
      <c r="Z28" s="75">
        <v>13.23</v>
      </c>
      <c r="AA28" s="96" t="str">
        <f t="shared" si="8"/>
        <v/>
      </c>
      <c r="AB28" s="97">
        <v>250</v>
      </c>
      <c r="AC28" s="75">
        <v>13.246</v>
      </c>
      <c r="AD28" s="95" t="str">
        <f t="shared" si="9"/>
        <v/>
      </c>
      <c r="AE28" s="43">
        <f t="shared" si="10"/>
        <v>1.3689999999999998</v>
      </c>
      <c r="AF28" s="75">
        <f t="shared" si="11"/>
        <v>3.5602476780185746</v>
      </c>
      <c r="AG28" s="96" t="str">
        <f t="shared" si="12"/>
        <v/>
      </c>
      <c r="AH28" s="91">
        <f>AJ30</f>
        <v>30.025281862745096</v>
      </c>
      <c r="AI28" s="72">
        <v>14.615</v>
      </c>
      <c r="AJ28" s="42">
        <f>AF18</f>
        <v>9.3712499999999999</v>
      </c>
      <c r="AK28" s="70">
        <v>13</v>
      </c>
      <c r="AL28" s="91">
        <f t="shared" ref="AL28:AM31" si="13">IF($D$10=0,"",AH28)</f>
        <v>30.025281862745096</v>
      </c>
      <c r="AM28" s="72">
        <f t="shared" si="13"/>
        <v>14.615</v>
      </c>
    </row>
    <row r="29" spans="15:42" x14ac:dyDescent="0.25">
      <c r="T29" s="17">
        <v>6</v>
      </c>
      <c r="U29" s="65">
        <v>10</v>
      </c>
      <c r="V29" s="75">
        <f>SUM(W29:$W$32)</f>
        <v>2.8119999999999994</v>
      </c>
      <c r="W29" s="15">
        <f t="shared" si="6"/>
        <v>0.55499999999999972</v>
      </c>
      <c r="X29" s="95" t="str">
        <f t="shared" si="7"/>
        <v/>
      </c>
      <c r="Y29" s="101">
        <v>275</v>
      </c>
      <c r="Z29" s="75">
        <f>(Z28-Z30)/2+Z30</f>
        <v>12.827500000000001</v>
      </c>
      <c r="AA29" s="96" t="str">
        <f t="shared" si="8"/>
        <v/>
      </c>
      <c r="AB29" s="102">
        <v>275</v>
      </c>
      <c r="AC29" s="75">
        <f>(AC28-AC30)/2+AC30</f>
        <v>13.123000000000001</v>
      </c>
      <c r="AD29" s="95" t="str">
        <f t="shared" si="9"/>
        <v/>
      </c>
      <c r="AE29" s="43">
        <f t="shared" si="10"/>
        <v>1.4919999999999991</v>
      </c>
      <c r="AF29" s="75">
        <f t="shared" si="11"/>
        <v>3.8801238390092845</v>
      </c>
      <c r="AG29" s="96" t="str">
        <f t="shared" si="12"/>
        <v/>
      </c>
      <c r="AH29" s="43">
        <f>AH28+AG31</f>
        <v>31.564848426212588</v>
      </c>
      <c r="AI29" s="94">
        <f>AD31</f>
        <v>14.023</v>
      </c>
      <c r="AJ29" s="43">
        <f>AJ28</f>
        <v>9.3712499999999999</v>
      </c>
      <c r="AK29" s="71">
        <f>V8*AJ29+W8</f>
        <v>4.6186066176470586</v>
      </c>
      <c r="AL29" s="43">
        <f t="shared" si="13"/>
        <v>31.564848426212588</v>
      </c>
      <c r="AM29" s="94">
        <f t="shared" si="13"/>
        <v>14.023</v>
      </c>
    </row>
    <row r="30" spans="15:42" x14ac:dyDescent="0.25">
      <c r="T30" s="17">
        <v>6</v>
      </c>
      <c r="U30" s="65">
        <v>9</v>
      </c>
      <c r="V30" s="75">
        <f>SUM(W30:$W$32)</f>
        <v>2.2569999999999997</v>
      </c>
      <c r="W30" s="15">
        <f t="shared" si="6"/>
        <v>0.62899999999999778</v>
      </c>
      <c r="X30" s="95" t="str">
        <f t="shared" si="7"/>
        <v/>
      </c>
      <c r="Y30" s="76">
        <v>300</v>
      </c>
      <c r="Z30" s="75">
        <v>12.425000000000001</v>
      </c>
      <c r="AA30" s="96" t="str">
        <f t="shared" si="8"/>
        <v/>
      </c>
      <c r="AB30" s="97">
        <v>300</v>
      </c>
      <c r="AC30" s="75">
        <v>13</v>
      </c>
      <c r="AD30" s="95" t="str">
        <f t="shared" si="9"/>
        <v/>
      </c>
      <c r="AE30" s="43">
        <f t="shared" si="10"/>
        <v>1.6150000000000002</v>
      </c>
      <c r="AF30" s="75">
        <f t="shared" si="11"/>
        <v>4.1999999999999993</v>
      </c>
      <c r="AG30" s="96" t="str">
        <f t="shared" si="12"/>
        <v/>
      </c>
      <c r="AH30" s="43">
        <f>AH29</f>
        <v>31.564848426212588</v>
      </c>
      <c r="AI30" s="94">
        <f>AI31</f>
        <v>23.069499999999991</v>
      </c>
      <c r="AJ30" s="43">
        <f>(AK30-W12)/V12</f>
        <v>30.025281862745096</v>
      </c>
      <c r="AK30" s="71">
        <f>AK29</f>
        <v>4.6186066176470586</v>
      </c>
      <c r="AL30" s="43">
        <f t="shared" si="13"/>
        <v>31.564848426212588</v>
      </c>
      <c r="AM30" s="94">
        <f t="shared" si="13"/>
        <v>23.069499999999991</v>
      </c>
    </row>
    <row r="31" spans="15:42" ht="15.75" thickBot="1" x14ac:dyDescent="0.3">
      <c r="T31" s="17">
        <v>6</v>
      </c>
      <c r="U31" s="65">
        <v>8</v>
      </c>
      <c r="V31" s="75">
        <f>SUM(W31:$W$32)</f>
        <v>1.6280000000000019</v>
      </c>
      <c r="W31" s="15">
        <f t="shared" si="6"/>
        <v>0.70300000000000296</v>
      </c>
      <c r="X31" s="95" t="str">
        <f t="shared" si="7"/>
        <v/>
      </c>
      <c r="Y31" s="44"/>
      <c r="Z31" s="100"/>
      <c r="AA31" s="79">
        <f>SUM(AA22:AA30)</f>
        <v>15.443750000000001</v>
      </c>
      <c r="AB31" s="99"/>
      <c r="AC31" s="100"/>
      <c r="AD31" s="103">
        <f>SUM(AD22:AD30)</f>
        <v>14.023</v>
      </c>
      <c r="AE31" s="44"/>
      <c r="AF31" s="100"/>
      <c r="AG31" s="79">
        <f>SUM(AG22:AG30)</f>
        <v>1.5395665634674933</v>
      </c>
      <c r="AH31" s="44">
        <f>AA31</f>
        <v>15.443750000000001</v>
      </c>
      <c r="AI31" s="45">
        <f>AM21*AH31+AN21+X33</f>
        <v>23.069499999999991</v>
      </c>
      <c r="AJ31" s="43">
        <f>AJ30</f>
        <v>30.025281862745096</v>
      </c>
      <c r="AK31" s="71">
        <f>SUM(AI2:AI13)</f>
        <v>22.495999999999999</v>
      </c>
      <c r="AL31" s="44">
        <f t="shared" si="13"/>
        <v>15.443750000000001</v>
      </c>
      <c r="AM31" s="45">
        <f t="shared" si="13"/>
        <v>23.069499999999991</v>
      </c>
    </row>
    <row r="32" spans="15:42" ht="15.75" thickBot="1" x14ac:dyDescent="0.3">
      <c r="T32" s="36">
        <v>6</v>
      </c>
      <c r="U32" s="69">
        <v>7</v>
      </c>
      <c r="V32" s="100">
        <f>SUM(W32:$W$32)</f>
        <v>0.92499999999999893</v>
      </c>
      <c r="W32" s="37">
        <f t="shared" si="6"/>
        <v>0.92499999999999893</v>
      </c>
      <c r="X32" s="79" t="str">
        <f t="shared" si="7"/>
        <v/>
      </c>
      <c r="AA32" s="104" t="s">
        <v>40</v>
      </c>
      <c r="AB32" s="105" t="s">
        <v>41</v>
      </c>
      <c r="AC32" s="105" t="s">
        <v>43</v>
      </c>
      <c r="AD32" s="105" t="s">
        <v>44</v>
      </c>
      <c r="AE32" s="105" t="s">
        <v>42</v>
      </c>
      <c r="AF32" s="106" t="s">
        <v>45</v>
      </c>
      <c r="AG32" s="107" t="s">
        <v>46</v>
      </c>
      <c r="AJ32" s="44">
        <v>17.079999999999998</v>
      </c>
      <c r="AK32" s="45">
        <f>AK31</f>
        <v>22.495999999999999</v>
      </c>
    </row>
    <row r="33" spans="12:33" ht="15.75" thickBot="1" x14ac:dyDescent="0.3">
      <c r="L33" s="108"/>
      <c r="T33" s="109"/>
      <c r="U33" s="110"/>
      <c r="V33" s="110"/>
      <c r="W33" s="110"/>
      <c r="X33" s="64">
        <f>SUM(X22:X32)</f>
        <v>6.8449999999999971</v>
      </c>
      <c r="AA33" s="44">
        <v>4.2</v>
      </c>
      <c r="AB33" s="100">
        <f>AE30</f>
        <v>1.6150000000000002</v>
      </c>
      <c r="AC33" s="100">
        <f>AA33/AB33</f>
        <v>2.6006191950464395</v>
      </c>
      <c r="AD33" s="100">
        <f>ATAN(AC33)</f>
        <v>1.2037022696019568</v>
      </c>
      <c r="AE33" s="100">
        <f>PI()</f>
        <v>3.1415926535897931</v>
      </c>
      <c r="AF33" s="111">
        <f>180*AD33/AE33</f>
        <v>68.967059838510494</v>
      </c>
      <c r="AG33" s="45">
        <f>TAN(AD33)</f>
        <v>2.600619195046439</v>
      </c>
    </row>
    <row r="48" spans="12:33" ht="12.75" customHeight="1" x14ac:dyDescent="0.25"/>
    <row r="53" spans="14:19" x14ac:dyDescent="0.25">
      <c r="Q53" s="112"/>
      <c r="R53" s="112"/>
      <c r="S53" s="112"/>
    </row>
    <row r="54" spans="14:19" x14ac:dyDescent="0.25">
      <c r="N54" s="113"/>
    </row>
  </sheetData>
  <sheetProtection algorithmName="SHA-512" hashValue="dFe7MBl3APCdavQR26YhhZjkAQCYvvaT+pWvz9zdTw4/vchGCSs26tT2F43VK9u0pg9z84XKnsSDApmmG1EKjQ==" saltValue="pu2jTrWL2Ti9vaiOp5Y+OA==" spinCount="100000" sheet="1" objects="1" scenarios="1" selectLockedCells="1"/>
  <mergeCells count="46">
    <mergeCell ref="B3:C3"/>
    <mergeCell ref="B4:C4"/>
    <mergeCell ref="D8:G8"/>
    <mergeCell ref="D5:G5"/>
    <mergeCell ref="D6:G6"/>
    <mergeCell ref="D7:G7"/>
    <mergeCell ref="D3:F3"/>
    <mergeCell ref="D4:F4"/>
    <mergeCell ref="G3:K3"/>
    <mergeCell ref="G4:K4"/>
    <mergeCell ref="H5:K5"/>
    <mergeCell ref="H6:K6"/>
    <mergeCell ref="H7:K7"/>
    <mergeCell ref="H8:K8"/>
    <mergeCell ref="B10:C10"/>
    <mergeCell ref="B9:C9"/>
    <mergeCell ref="AO13:AP13"/>
    <mergeCell ref="AO19:AP19"/>
    <mergeCell ref="D10:K10"/>
    <mergeCell ref="D9:G9"/>
    <mergeCell ref="H9:K9"/>
    <mergeCell ref="AO22:AP22"/>
    <mergeCell ref="AO25:AP25"/>
    <mergeCell ref="AM1:AN1"/>
    <mergeCell ref="AO1:AP1"/>
    <mergeCell ref="AO4:AP4"/>
    <mergeCell ref="AO7:AP7"/>
    <mergeCell ref="AO10:AP10"/>
    <mergeCell ref="T19:AN19"/>
    <mergeCell ref="AB20:AG20"/>
    <mergeCell ref="T20:AA20"/>
    <mergeCell ref="AO16:AP16"/>
    <mergeCell ref="AL26:AM26"/>
    <mergeCell ref="AJ26:AK26"/>
    <mergeCell ref="AK1:AL1"/>
    <mergeCell ref="X1:Y1"/>
    <mergeCell ref="AG1:AI1"/>
    <mergeCell ref="Z1:AF1"/>
    <mergeCell ref="AH26:AI26"/>
    <mergeCell ref="M2:Q2"/>
    <mergeCell ref="M3:Q3"/>
    <mergeCell ref="O21:P21"/>
    <mergeCell ref="AB21:AD21"/>
    <mergeCell ref="AE21:AG21"/>
    <mergeCell ref="T21:X21"/>
    <mergeCell ref="Y21:AA21"/>
  </mergeCells>
  <dataValidations xWindow="127" yWindow="299" count="5">
    <dataValidation type="decimal" errorStyle="information" allowBlank="1" showInputMessage="1" showErrorMessage="1" error="E(nominal) doit etre compris entre 3 et 70" sqref="C8">
      <formula1>3</formula1>
      <formula2>70</formula2>
    </dataValidation>
    <dataValidation type="list" allowBlank="1" showInputMessage="1" showErrorMessage="1" sqref="H5">
      <formula1>"TIG,MIG-MAG,EE-sous flux,"</formula1>
    </dataValidation>
    <dataValidation type="list" allowBlank="1" showInputMessage="1" showErrorMessage="1" sqref="H7">
      <mc:AlternateContent xmlns:x12ac="http://schemas.microsoft.com/office/spreadsheetml/2011/1/ac" xmlns:mc="http://schemas.openxmlformats.org/markup-compatibility/2006">
        <mc:Choice Requires="x12ac">
          <x12ac:list>"0,6","0,75","0,89",1,"1,5",2</x12ac:list>
        </mc:Choice>
        <mc:Fallback>
          <formula1>"0,6,0,75,0,89,1,1,5,2"</formula1>
        </mc:Fallback>
      </mc:AlternateContent>
    </dataValidation>
    <dataValidation type="list" allowBlank="1" showInputMessage="1" showErrorMessage="1" sqref="H6">
      <formula1>"6,7,8,9,10,15,20,25,30,40,50,60"</formula1>
    </dataValidation>
    <dataValidation type="list" allowBlank="1" showInputMessage="1" showErrorMessage="1" sqref="D10">
      <formula1>"0,100,125,150,175,200,225,250,275,300"</formula1>
    </dataValidation>
  </dataValidations>
  <hyperlinks>
    <hyperlink ref="S3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5" x14ac:dyDescent="0.25"/>
  <cols>
    <col min="1" max="16384" width="11.42578125" style="4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Irsid</vt:lpstr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2018-03-12T12:31:40Z</dcterms:modified>
</cp:coreProperties>
</file>